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data" sheetId="1" r:id="rId1"/>
    <sheet name="Proceedings" sheetId="2" r:id="rId2"/>
    <sheet name="Bill" sheetId="3" r:id="rId3"/>
    <sheet name="47 cover page" sheetId="4" r:id="rId4"/>
    <sheet name="47 back page" sheetId="5" r:id="rId5"/>
    <sheet name="Paper Token,101" sheetId="6" r:id="rId6"/>
    <sheet name="47 cover page (2)" sheetId="7" r:id="rId7"/>
    <sheet name="47 back page (2)" sheetId="8" r:id="rId8"/>
    <sheet name="Paper Token,101 (2)" sheetId="9" r:id="rId9"/>
  </sheets>
  <externalReferences>
    <externalReference r:id="rId12"/>
    <externalReference r:id="rId13"/>
    <externalReference r:id="rId14"/>
  </externalReferences>
  <definedNames>
    <definedName name="_xlnm.Print_Area" localSheetId="2">'Bill'!$A$1:$Q$25</definedName>
    <definedName name="_xlnm.Print_Area" localSheetId="5">'Paper Token,101'!$A$1:$AT$41</definedName>
    <definedName name="_xlnm.Print_Area" localSheetId="8">'Paper Token,101 (2)'!$A$1:$AT$41</definedName>
  </definedNames>
  <calcPr fullCalcOnLoad="1"/>
</workbook>
</file>

<file path=xl/sharedStrings.xml><?xml version="1.0" encoding="utf-8"?>
<sst xmlns="http://schemas.openxmlformats.org/spreadsheetml/2006/main" count="907" uniqueCount="305">
  <si>
    <t>NAME&amp;DESIG</t>
  </si>
  <si>
    <t>IR</t>
  </si>
  <si>
    <t>S 
NO</t>
  </si>
  <si>
    <t>Employee Code</t>
  </si>
  <si>
    <t>Scale of Pay</t>
  </si>
  <si>
    <t>PAY</t>
  </si>
  <si>
    <t>D A</t>
  </si>
  <si>
    <t xml:space="preserve">H R A </t>
  </si>
  <si>
    <t xml:space="preserve">C C A </t>
  </si>
  <si>
    <t xml:space="preserve"> GOVT. RECOVERIES</t>
  </si>
  <si>
    <t>A G NET AMOUNT</t>
  </si>
  <si>
    <t>NET PAYABLE AMOUNT</t>
  </si>
  <si>
    <t>PP</t>
  </si>
  <si>
    <t>Name of the Teacher</t>
  </si>
  <si>
    <t>Designation</t>
  </si>
  <si>
    <t>Emp. Code</t>
  </si>
  <si>
    <t>Month</t>
  </si>
  <si>
    <t>days</t>
  </si>
  <si>
    <t>From</t>
  </si>
  <si>
    <t>Pay</t>
  </si>
  <si>
    <t>DA</t>
  </si>
  <si>
    <t>HRA</t>
  </si>
  <si>
    <t>Total</t>
  </si>
  <si>
    <t xml:space="preserve">For </t>
  </si>
  <si>
    <t>months</t>
  </si>
  <si>
    <t>Earned Leaves</t>
  </si>
  <si>
    <t>Signature of the DDO</t>
  </si>
  <si>
    <t>DA (%)</t>
  </si>
  <si>
    <t>HRA (%)</t>
  </si>
  <si>
    <t xml:space="preserve">RC.No : </t>
  </si>
  <si>
    <t>Date :</t>
  </si>
  <si>
    <t xml:space="preserve">Sub : </t>
  </si>
  <si>
    <t xml:space="preserve">Ref : </t>
  </si>
  <si>
    <t>*********</t>
  </si>
  <si>
    <t>Leave</t>
  </si>
  <si>
    <t xml:space="preserve">Earned Leave </t>
  </si>
  <si>
    <t xml:space="preserve">                                                                                                                            </t>
  </si>
  <si>
    <t>Copy to the individuval.</t>
  </si>
  <si>
    <t>Copy to file</t>
  </si>
  <si>
    <t>Total No of leaves balance as on the date of retirement</t>
  </si>
  <si>
    <t>Total No of leaves Permitted to encash on retirement</t>
  </si>
  <si>
    <t>No of leaves balance as on the date of retirement</t>
  </si>
  <si>
    <t>Leave Particulars</t>
  </si>
  <si>
    <t>Hal Pay Leaves</t>
  </si>
  <si>
    <t>Months</t>
  </si>
  <si>
    <t xml:space="preserve">Days </t>
  </si>
  <si>
    <t>Pay Paticularal</t>
  </si>
  <si>
    <t>Data for Form   APTC - 47</t>
  </si>
  <si>
    <t>District</t>
  </si>
  <si>
    <t>Krishna</t>
  </si>
  <si>
    <t>PAO Name</t>
  </si>
  <si>
    <t>DDO Design.</t>
  </si>
  <si>
    <t>DDO Code</t>
  </si>
  <si>
    <t xml:space="preserve">Bank Code </t>
  </si>
  <si>
    <t>Bank Name</t>
  </si>
  <si>
    <t>Head of Account</t>
  </si>
  <si>
    <t xml:space="preserve">DDO Name </t>
  </si>
  <si>
    <t>CCA</t>
  </si>
  <si>
    <t>2202021910005010</t>
  </si>
  <si>
    <t>Not Applicable</t>
  </si>
  <si>
    <t>Name of the School/ Office</t>
  </si>
  <si>
    <t>Greater Hyderabad</t>
  </si>
  <si>
    <t>Other Muncipalities</t>
  </si>
  <si>
    <t>Vijayawada/Visakhapatnam</t>
  </si>
  <si>
    <t>CCA Rates PRC 2015</t>
  </si>
  <si>
    <t>To</t>
  </si>
  <si>
    <t>Hyd</t>
  </si>
  <si>
    <t>Vij</t>
  </si>
  <si>
    <t>Others</t>
  </si>
  <si>
    <t>CCA at HYD</t>
  </si>
  <si>
    <t>CCA at VJA</t>
  </si>
  <si>
    <t>CCA at Others</t>
  </si>
  <si>
    <t>Date of Joining in the Service</t>
  </si>
  <si>
    <t>Service</t>
  </si>
  <si>
    <t>S No</t>
  </si>
  <si>
    <t xml:space="preserve">Total </t>
  </si>
  <si>
    <t>Date of retirment/death</t>
  </si>
  <si>
    <t>Half Pay Leave</t>
  </si>
  <si>
    <t>Half Pay Leaves</t>
  </si>
  <si>
    <t>STO, NUZVID</t>
  </si>
  <si>
    <t>Balance (which is closed to zero  in SR due to retired)</t>
  </si>
  <si>
    <t xml:space="preserve">           Necessary entries are recorded in the Service Register of the individual. It is informed that If any excess amount paid during sanction, the excess amount will be recovered from the Pensionary Benefits of the individual.</t>
  </si>
  <si>
    <t>Y-M-D</t>
  </si>
  <si>
    <t>Total Claim</t>
  </si>
  <si>
    <t>Claim in the Composite State</t>
  </si>
  <si>
    <t>Department</t>
  </si>
  <si>
    <t>Secondary Education</t>
  </si>
  <si>
    <t>Proceedings RC No &amp; Date</t>
  </si>
  <si>
    <t>Grand Total</t>
  </si>
  <si>
    <t>Smt.K NIRMALA KUMARI</t>
  </si>
  <si>
    <t>SCHOOL ASSISTANT (TELUGU)</t>
  </si>
  <si>
    <t>Sri M Vijay Kumar</t>
  </si>
  <si>
    <t>HEAD MASTER</t>
  </si>
  <si>
    <t>SRRZPHS NUZVID</t>
  </si>
  <si>
    <t>05120308013</t>
  </si>
  <si>
    <t>0889</t>
  </si>
  <si>
    <t>SBI NUZVID</t>
  </si>
  <si>
    <t>Municipal Employees</t>
  </si>
  <si>
    <t>003</t>
  </si>
  <si>
    <t>Panchayat Raj Employees</t>
  </si>
  <si>
    <t>002</t>
  </si>
  <si>
    <t>State Government employees</t>
  </si>
  <si>
    <t>001</t>
  </si>
  <si>
    <t>2071-01-115-00-14-</t>
  </si>
  <si>
    <t>-000-N-V-N</t>
  </si>
  <si>
    <t>2071-01-115-00-24-</t>
  </si>
  <si>
    <t>2071-01-115-00-07-</t>
  </si>
  <si>
    <t>Employee belongs to</t>
  </si>
  <si>
    <t>Claim</t>
  </si>
  <si>
    <t>Amount</t>
  </si>
  <si>
    <t>Amount allocable between two successor States of AP&amp;TS</t>
  </si>
  <si>
    <t xml:space="preserve">            The Total Amount is claimed in two bills .One is Amount allocable between two successor States of AP&amp;TS and Second one is Amount  allocable  to  successor  state  as follows based on the instructions issued in Cir.Memo No.196330-C/86/A2/HRM.V/2016 Finance(HR.V) Dept. dt.17-10-2016</t>
  </si>
  <si>
    <t>Amount claimed</t>
  </si>
  <si>
    <t xml:space="preserve">ZPHS </t>
  </si>
  <si>
    <t>Govt. of Andhra Pradesh</t>
  </si>
  <si>
    <t>( APTC Form - 47 )</t>
  </si>
  <si>
    <t>Pay Bill of the Month &amp; Year</t>
  </si>
  <si>
    <t>( For Treasury  Use Only)</t>
  </si>
  <si>
    <t>Date : ……………………</t>
  </si>
  <si>
    <t>Treasury / P.A.O. Code</t>
  </si>
  <si>
    <t>Trans ID :</t>
  </si>
  <si>
    <t>D.D.O. Code</t>
  </si>
  <si>
    <t xml:space="preserve">District  : </t>
  </si>
  <si>
    <t>D.D.O.Designation</t>
  </si>
  <si>
    <t>DDO Office Name :</t>
  </si>
  <si>
    <t>Bank Code</t>
  </si>
  <si>
    <t>Bank Name :</t>
  </si>
  <si>
    <t>D.D.O.'s TBR No.</t>
  </si>
  <si>
    <r>
      <t>Permanent</t>
    </r>
    <r>
      <rPr>
        <sz val="11"/>
        <rFont val="Arial"/>
        <family val="2"/>
      </rPr>
      <t xml:space="preserve"> </t>
    </r>
  </si>
  <si>
    <t>/ Temporaray</t>
  </si>
  <si>
    <t>Deductions</t>
  </si>
  <si>
    <t>Majot Head</t>
  </si>
  <si>
    <t>GPF /AIS./PF</t>
  </si>
  <si>
    <t>Rs.</t>
  </si>
  <si>
    <t>Sub Major</t>
  </si>
  <si>
    <t>APGLI</t>
  </si>
  <si>
    <t>Minor Head</t>
  </si>
  <si>
    <t>Group Insurance/AIS</t>
  </si>
  <si>
    <t>Group Sub-Head</t>
  </si>
  <si>
    <t>Professional Tax</t>
  </si>
  <si>
    <t xml:space="preserve">                                                                                                                                                                                                                                                                to ZP</t>
  </si>
  <si>
    <t>Sub Head</t>
  </si>
  <si>
    <t>House Rent</t>
  </si>
  <si>
    <t>Detailed Head</t>
  </si>
  <si>
    <t>Festival Advance &amp; APCO Advance</t>
  </si>
  <si>
    <t>Education Advance</t>
  </si>
  <si>
    <t>Non-plan = N / Plan = P</t>
  </si>
  <si>
    <t>N</t>
  </si>
  <si>
    <t>Charged = C / Voted = V</t>
  </si>
  <si>
    <t>V</t>
  </si>
  <si>
    <t>H.B.A. (P)</t>
  </si>
  <si>
    <t>H.B.A. (I)</t>
  </si>
  <si>
    <t xml:space="preserve">Contigency Fund MH Service Major Head </t>
  </si>
  <si>
    <t>Car Advance (P)</t>
  </si>
  <si>
    <t>Car Advance (I)</t>
  </si>
  <si>
    <t>Motor Cycle Advance (P)</t>
  </si>
  <si>
    <t>011</t>
  </si>
  <si>
    <t>Motor Cycle Advance (I)</t>
  </si>
  <si>
    <t>012</t>
  </si>
  <si>
    <t>Allowances</t>
  </si>
  <si>
    <t>Cycle Advance</t>
  </si>
  <si>
    <t>013</t>
  </si>
  <si>
    <t>Dearness Allowance</t>
  </si>
  <si>
    <t>Marrage Advance (P)</t>
  </si>
  <si>
    <t>015</t>
  </si>
  <si>
    <t>Marrage Advance (I)</t>
  </si>
  <si>
    <t>016</t>
  </si>
  <si>
    <t>Incom Tax</t>
  </si>
  <si>
    <t>Under rupees</t>
  </si>
  <si>
    <t>017</t>
  </si>
  <si>
    <t>Medical Reiumbersement</t>
  </si>
  <si>
    <t>Class IV GPF - DTO</t>
  </si>
  <si>
    <t xml:space="preserve">E.W.F. </t>
  </si>
  <si>
    <t>__________________</t>
  </si>
  <si>
    <t>Z.P.P.F</t>
  </si>
  <si>
    <t>Gross Amount</t>
  </si>
  <si>
    <t>CPS</t>
  </si>
  <si>
    <t>Less Govt. Deducations</t>
  </si>
  <si>
    <t>CSS</t>
  </si>
  <si>
    <t>AG Net Amount</t>
  </si>
  <si>
    <t>Total Govt. Deducations</t>
  </si>
  <si>
    <t xml:space="preserve">AG Net Amount in Words </t>
  </si>
  <si>
    <t>Total Non-Govt. Deductions</t>
  </si>
  <si>
    <t>D.D.O.'s Signature</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</si>
  <si>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</si>
  <si>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</si>
  <si>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</si>
  <si>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 xml:space="preserve">____________________________ Only) by Cash / Cheque / Draft / Account Credit as Under and Rs. ______________________ </t>
  </si>
  <si>
    <t>( Rupees ____________________________________________________________________ Only ) by adjustment.</t>
  </si>
  <si>
    <t>Rs. ____________________ by transfer credit to this S.B.</t>
  </si>
  <si>
    <t>Account of the employees (As per Annexure - 1)</t>
  </si>
  <si>
    <t>Rs. ____________________ by transfer credit to this D.D.O.</t>
  </si>
  <si>
    <t>Account towards non-government deducations.</t>
  </si>
  <si>
    <t>Treasury Officer / Pay &amp; Accounts Officer</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</si>
  <si>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</si>
  <si>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</si>
  <si>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</si>
  <si>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</si>
  <si>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</si>
  <si>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</si>
  <si>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</si>
  <si>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</si>
  <si>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</si>
  <si>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</si>
  <si>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</si>
  <si>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</si>
  <si>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</si>
  <si>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</si>
  <si>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</si>
  <si>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</si>
  <si>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</si>
  <si>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</si>
  <si>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</si>
  <si>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</si>
  <si>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</si>
  <si>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</si>
  <si>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</si>
  <si>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</si>
  <si>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</si>
  <si>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</si>
  <si>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</si>
  <si>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BUDGET INFORMATION</t>
  </si>
  <si>
    <t>Yearly Estimated Budget    Rs</t>
  </si>
  <si>
    <t>Amount Including this Bill    Rs</t>
  </si>
  <si>
    <t>Balance</t>
  </si>
  <si>
    <t xml:space="preserve">         Rs</t>
  </si>
  <si>
    <t>Passed for Rs.</t>
  </si>
  <si>
    <t xml:space="preserve"> </t>
  </si>
  <si>
    <t>________________Paid By Cash/Adjustment/Check/Draft.</t>
  </si>
  <si>
    <t xml:space="preserve">                                        Drawing Officer</t>
  </si>
  <si>
    <t xml:space="preserve">1.Certified that the amount claimed in this bill was not drawn and paid </t>
  </si>
  <si>
    <t xml:space="preserve">   previously</t>
  </si>
  <si>
    <t xml:space="preserve">    </t>
  </si>
  <si>
    <t xml:space="preserve"> DDO Signature</t>
  </si>
  <si>
    <t>APTC  FORM  -  101</t>
  </si>
  <si>
    <t>PAPER TOKEN</t>
  </si>
  <si>
    <t>(See subsidiary Rule 2 (W) Under Treasury Rule 15:</t>
  </si>
  <si>
    <t>Govt. Memo No.  : 38907 / Accounts / 65-5, Dtg: 21-02-1963)</t>
  </si>
  <si>
    <t>STO Code :</t>
  </si>
  <si>
    <t>(For Treasury Use Only)</t>
  </si>
  <si>
    <t>STO NAME :</t>
  </si>
  <si>
    <t>DDO Code :</t>
  </si>
  <si>
    <t>DDO CODE</t>
  </si>
  <si>
    <t xml:space="preserve">DDO design :      </t>
  </si>
  <si>
    <t xml:space="preserve">Treasury / PAO Name : </t>
  </si>
  <si>
    <t>DDO Designation</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</si>
  <si>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</si>
  <si>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</si>
  <si>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</si>
  <si>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</si>
  <si>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</si>
  <si>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</si>
  <si>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</si>
  <si>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</si>
  <si>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</si>
  <si>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</si>
  <si>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</si>
  <si>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</si>
  <si>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</si>
  <si>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</si>
  <si>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</si>
  <si>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</si>
  <si>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</si>
  <si>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</si>
  <si>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</si>
  <si>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</si>
  <si>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</si>
  <si>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</si>
  <si>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</si>
  <si>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</si>
  <si>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</si>
  <si>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</si>
  <si>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whose specimen signature is attested herewith.</t>
  </si>
  <si>
    <t>Gross Rs.</t>
  </si>
  <si>
    <t>Deductions Rs.</t>
  </si>
  <si>
    <t>Net Rs.</t>
  </si>
  <si>
    <t>Signature of the Govt. Servant</t>
  </si>
  <si>
    <t>Received the payment</t>
  </si>
  <si>
    <t>Dated:</t>
  </si>
  <si>
    <t>Messenger Name:</t>
  </si>
  <si>
    <t>Designation :</t>
  </si>
  <si>
    <t>(As ub APTC Form - 101)</t>
  </si>
  <si>
    <t>Attested</t>
  </si>
  <si>
    <t xml:space="preserve">Specimen Signature of </t>
  </si>
  <si>
    <t>1)</t>
  </si>
  <si>
    <t>Messenger</t>
  </si>
  <si>
    <t>2)</t>
  </si>
  <si>
    <t>receiving the payment</t>
  </si>
  <si>
    <t>DDO Signature</t>
  </si>
  <si>
    <t>STO Signature</t>
  </si>
  <si>
    <t>AHRA</t>
  </si>
  <si>
    <t>A HRA</t>
  </si>
  <si>
    <t>NON-GOVT REC</t>
  </si>
  <si>
    <t>2/HM/2017</t>
  </si>
  <si>
    <t>1. G.O.Ms. NO. 154 FINANCE (FR.I) DEPARTMENT, dt. 04-05-2010</t>
  </si>
  <si>
    <t>2. G.O.Ms.No. 140 FINANCE (PSC) DEPARTMENT Dated: 31-05-2014</t>
  </si>
  <si>
    <t xml:space="preserve">3. G.O.MS.No. 194 FINANCE (HR.VII) DEPARTMENT Dated: 22 .09.2014
</t>
  </si>
  <si>
    <t>4. Cir.Memo No.196330-C/86/A2/HRM.V/2016 Finance(HR.V) Dept. dt.17-10-2016</t>
  </si>
  <si>
    <t>The Leave Account of the individual is as follows</t>
  </si>
  <si>
    <t>Earned Leave already encashed</t>
  </si>
  <si>
    <t>Years= Months/12</t>
  </si>
  <si>
    <r>
      <t xml:space="preserve">Data for the Calculation of Encashment of HPL
</t>
    </r>
    <r>
      <rPr>
        <b/>
        <i/>
        <sz val="12"/>
        <color indexed="9"/>
        <rFont val="Arial"/>
        <family val="2"/>
      </rPr>
      <t>(Date Format should be MM/DD/YYYY)</t>
    </r>
  </si>
  <si>
    <t>018</t>
  </si>
  <si>
    <t>No of  Months =     (yearsX12)+months+(days/30)</t>
  </si>
  <si>
    <t>5. G.O.Ms.No.90 FINANCE (HR.IV) DEPARTMENT Dated: 08-06-2018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</si>
</sst>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409]dddd\,\ mmmm\ dd\,\ yyyy"/>
    <numFmt numFmtId="182" formatCode="dd\-mm\-yyyy;@"/>
    <numFmt numFmtId="183" formatCode="mmm\-yyyy"/>
    <numFmt numFmtId="184" formatCode="0;[Red]0"/>
    <numFmt numFmtId="185" formatCode="dd\-mm\-yy;@"/>
    <numFmt numFmtId="186" formatCode="mmmm\-yy"/>
    <numFmt numFmtId="187" formatCode="[$-409]mmmm\-yy;@"/>
    <numFmt numFmtId="188" formatCode="0.00;[Red]0.00"/>
    <numFmt numFmtId="189" formatCode="mm"/>
    <numFmt numFmtId="190" formatCode="_-[$Rs-420]* #,##0.00_-;_-[$Rs-420]* #,##0.00\-;_-[$Rs-420]* &quot;-&quot;??_-;_-@_-"/>
    <numFmt numFmtId="191" formatCode="m/d/yy;@"/>
    <numFmt numFmtId="192" formatCode="m/d/yyyy;@"/>
    <numFmt numFmtId="193" formatCode="[$-409]d\-mmm\-yy;@"/>
    <numFmt numFmtId="194" formatCode="m/d/yy"/>
    <numFmt numFmtId="195" formatCode="d\-m\-yy;@"/>
    <numFmt numFmtId="196" formatCode="[$-409]mmm\-yy;@"/>
    <numFmt numFmtId="197" formatCode="[$-409]mmmmm;@"/>
    <numFmt numFmtId="198" formatCode="0.0;[Red]0.0"/>
    <numFmt numFmtId="199" formatCode="#\ ?/10"/>
    <numFmt numFmtId="200" formatCode="m/yyyy"/>
    <numFmt numFmtId="201" formatCode="mmmm\-yyyy"/>
    <numFmt numFmtId="202" formatCode="00000"/>
    <numFmt numFmtId="203" formatCode="mm/yy"/>
    <numFmt numFmtId="204" formatCode="mm\ \ \-\ \ yyyy"/>
    <numFmt numFmtId="205" formatCode="0.000"/>
    <numFmt numFmtId="206" formatCode="dd\-mm\-yyyy"/>
  </numFmts>
  <fonts count="6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9"/>
      <name val="Arial"/>
      <family val="2"/>
    </font>
    <font>
      <b/>
      <sz val="8"/>
      <name val="Arial"/>
      <family val="2"/>
    </font>
    <font>
      <sz val="8"/>
      <name val="Arial"/>
      <family val="2"/>
    </font>
    <font>
      <i/>
      <sz val="9"/>
      <name val="Arial"/>
      <family val="2"/>
    </font>
    <font>
      <b/>
      <sz val="14"/>
      <name val="Arial"/>
      <family val="2"/>
    </font>
    <font>
      <i/>
      <u val="double"/>
      <sz val="12"/>
      <color indexed="10"/>
      <name val="Arial"/>
      <family val="2"/>
    </font>
    <font>
      <b/>
      <i/>
      <sz val="14"/>
      <name val="Arial"/>
      <family val="2"/>
    </font>
    <font>
      <i/>
      <u val="single"/>
      <sz val="14"/>
      <name val="Arial"/>
      <family val="2"/>
    </font>
    <font>
      <b/>
      <sz val="12"/>
      <name val="Arial"/>
      <family val="2"/>
    </font>
    <font>
      <sz val="14"/>
      <name val="Arial"/>
      <family val="2"/>
    </font>
    <font>
      <b/>
      <sz val="16"/>
      <name val="Arial"/>
      <family val="2"/>
    </font>
    <font>
      <sz val="9"/>
      <name val="Arial"/>
      <family val="2"/>
    </font>
    <font>
      <sz val="10"/>
      <color indexed="8"/>
      <name val="Arial"/>
      <family val="2"/>
    </font>
    <font>
      <sz val="11"/>
      <name val="Arial"/>
      <family val="2"/>
    </font>
    <font>
      <b/>
      <sz val="18"/>
      <name val="Arial"/>
      <family val="2"/>
    </font>
    <font>
      <b/>
      <i/>
      <sz val="12"/>
      <color indexed="9"/>
      <name val="Arial"/>
      <family val="2"/>
    </font>
    <font>
      <b/>
      <i/>
      <sz val="10"/>
      <color indexed="8"/>
      <name val="Postino Italic"/>
      <family val="1"/>
    </font>
    <font>
      <i/>
      <sz val="8"/>
      <name val="Raavi"/>
      <family val="2"/>
    </font>
    <font>
      <b/>
      <sz val="11"/>
      <name val="Arial"/>
      <family val="2"/>
    </font>
    <font>
      <i/>
      <sz val="10"/>
      <name val="Arial"/>
      <family val="2"/>
    </font>
    <font>
      <b/>
      <i/>
      <sz val="12"/>
      <name val="Arial"/>
      <family val="2"/>
    </font>
    <font>
      <sz val="16"/>
      <name val="Rage Italic"/>
      <family val="4"/>
    </font>
    <font>
      <b/>
      <strike/>
      <sz val="10"/>
      <name val="Arial"/>
      <family val="2"/>
    </font>
    <font>
      <sz val="22"/>
      <name val="Script"/>
      <family val="4"/>
    </font>
    <font>
      <sz val="14"/>
      <name val="Rage Italic"/>
      <family val="4"/>
    </font>
    <font>
      <b/>
      <i/>
      <sz val="10"/>
      <name val="Arial"/>
      <family val="2"/>
    </font>
    <font>
      <u val="single"/>
      <sz val="10"/>
      <name val="Courier New"/>
      <family val="3"/>
    </font>
    <font>
      <sz val="10"/>
      <name val="Courier New"/>
      <family val="3"/>
    </font>
    <font>
      <i/>
      <u val="singleAccounting"/>
      <sz val="10"/>
      <name val="Lucida Calligraphy"/>
      <family val="4"/>
    </font>
    <font>
      <sz val="11"/>
      <name val="Calibri"/>
      <family val="2"/>
    </font>
    <font>
      <sz val="16"/>
      <name val="Arial"/>
      <family val="2"/>
    </font>
    <font>
      <i/>
      <sz val="8"/>
      <name val="Lucida Calligraphy"/>
      <family val="4"/>
    </font>
    <font>
      <i/>
      <sz val="11"/>
      <name val="Arial"/>
      <family val="2"/>
    </font>
    <font>
      <i/>
      <sz val="8"/>
      <name val="Arial"/>
      <family val="2"/>
    </font>
    <font>
      <i/>
      <sz val="9"/>
      <name val="Lucida Calligraphy"/>
      <family val="4"/>
    </font>
    <font>
      <i/>
      <sz val="12"/>
      <name val="Lucida Calligraphy"/>
      <family val="4"/>
    </font>
    <font>
      <i/>
      <sz val="10"/>
      <name val="Lucida Calligraphy"/>
      <family val="4"/>
    </font>
    <font>
      <sz val="12"/>
      <name val="Arial"/>
      <family val="2"/>
    </font>
    <font>
      <i/>
      <sz val="10"/>
      <name val="Cambria"/>
      <family val="1"/>
    </font>
    <font>
      <sz val="11"/>
      <color indexed="9"/>
      <name val="Arial"/>
      <family val="2"/>
    </font>
    <font>
      <i/>
      <u val="single"/>
      <sz val="12"/>
      <color indexed="9"/>
      <name val="Arial"/>
      <family val="2"/>
    </font>
    <font>
      <sz val="8"/>
      <name val="Tahoma"/>
      <family val="2"/>
    </font>
    <font>
      <sz val="11"/>
      <color theme="1"/>
      <name val="Calibri"/>
      <family val="2"/>
    </font>
    <font>
      <sz val="11"/>
      <color theme="0"/>
      <name val="Arial"/>
      <family val="2"/>
    </font>
    <font>
      <i/>
      <u val="single"/>
      <sz val="12"/>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8" tint="-0.24997000396251678"/>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5" tint="-0.2499700039625167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3"/>
      </left>
      <right style="thin">
        <color indexed="53"/>
      </right>
      <top style="thin">
        <color indexed="53"/>
      </top>
      <bottom style="thin">
        <color indexed="53"/>
      </bottom>
    </border>
    <border>
      <left style="thin">
        <color indexed="53"/>
      </left>
      <right>
        <color indexed="63"/>
      </right>
      <top style="thin">
        <color indexed="53"/>
      </top>
      <bottom style="thin">
        <color indexed="5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dotted"/>
    </border>
    <border>
      <left>
        <color indexed="63"/>
      </left>
      <right>
        <color indexed="63"/>
      </right>
      <top style="thin"/>
      <bottom style="dotted"/>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63"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 fillId="0" borderId="0">
      <alignment wrapText="1"/>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09">
    <xf numFmtId="0" fontId="0" fillId="0" borderId="0" xfId="0" applyAlignment="1">
      <alignment/>
    </xf>
    <xf numFmtId="0" fontId="0" fillId="0" borderId="0" xfId="0" applyFont="1" applyAlignment="1">
      <alignment/>
    </xf>
    <xf numFmtId="0" fontId="20" fillId="0" borderId="0" xfId="0" applyFont="1" applyAlignment="1">
      <alignment/>
    </xf>
    <xf numFmtId="0" fontId="22" fillId="0" borderId="0" xfId="0" applyFont="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xf>
    <xf numFmtId="0" fontId="0" fillId="0" borderId="11" xfId="0" applyBorder="1" applyAlignment="1">
      <alignment horizontal="left" vertical="center" wrapText="1"/>
    </xf>
    <xf numFmtId="0" fontId="0" fillId="0" borderId="10" xfId="0" applyBorder="1" applyAlignment="1">
      <alignment horizontal="right" vertical="center" wrapText="1"/>
    </xf>
    <xf numFmtId="14" fontId="0" fillId="0" borderId="0" xfId="0" applyNumberFormat="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right" vertical="center"/>
    </xf>
    <xf numFmtId="0" fontId="26" fillId="0" borderId="0" xfId="0" applyFont="1" applyAlignment="1">
      <alignment/>
    </xf>
    <xf numFmtId="0" fontId="0" fillId="0" borderId="0" xfId="0" applyAlignment="1">
      <alignment vertical="center"/>
    </xf>
    <xf numFmtId="0" fontId="0" fillId="0" borderId="0" xfId="0" applyAlignment="1">
      <alignment horizontal="right"/>
    </xf>
    <xf numFmtId="182" fontId="0" fillId="0" borderId="0" xfId="0" applyNumberFormat="1" applyFont="1" applyAlignment="1">
      <alignment horizontal="right" vertical="top"/>
    </xf>
    <xf numFmtId="0" fontId="0" fillId="0" borderId="0" xfId="0" applyFont="1" applyAlignment="1">
      <alignment horizontal="right"/>
    </xf>
    <xf numFmtId="0" fontId="0" fillId="0" borderId="0" xfId="0" applyFont="1" applyAlignment="1">
      <alignment horizontal="left" wrapText="1" indent="1"/>
    </xf>
    <xf numFmtId="0" fontId="0" fillId="0" borderId="0" xfId="0" applyFont="1" applyAlignment="1">
      <alignment horizontal="left" indent="1"/>
    </xf>
    <xf numFmtId="0" fontId="0" fillId="0" borderId="12" xfId="0" applyFont="1" applyBorder="1" applyAlignment="1">
      <alignment horizontal="center" wrapText="1"/>
    </xf>
    <xf numFmtId="0" fontId="0" fillId="0" borderId="12" xfId="0" applyBorder="1" applyAlignment="1">
      <alignment horizontal="center"/>
    </xf>
    <xf numFmtId="0" fontId="20" fillId="0" borderId="0" xfId="0" applyFont="1" applyBorder="1" applyAlignment="1">
      <alignment vertical="center"/>
    </xf>
    <xf numFmtId="0" fontId="0" fillId="0" borderId="12" xfId="0" applyBorder="1" applyAlignment="1">
      <alignment horizontal="right" vertical="center"/>
    </xf>
    <xf numFmtId="0" fontId="0" fillId="0" borderId="12" xfId="0" applyBorder="1" applyAlignment="1">
      <alignment/>
    </xf>
    <xf numFmtId="0" fontId="0" fillId="0" borderId="12" xfId="0" applyBorder="1" applyAlignment="1">
      <alignment horizontal="center" vertical="center"/>
    </xf>
    <xf numFmtId="49" fontId="0" fillId="0" borderId="0" xfId="0" applyNumberFormat="1" applyFont="1" applyAlignment="1">
      <alignment/>
    </xf>
    <xf numFmtId="0" fontId="34" fillId="24" borderId="12" xfId="0" applyFont="1" applyFill="1" applyBorder="1" applyAlignment="1" applyProtection="1">
      <alignment horizontal="left" vertical="center" wrapText="1"/>
      <protection/>
    </xf>
    <xf numFmtId="0" fontId="34" fillId="24" borderId="12" xfId="0" applyFont="1" applyFill="1" applyBorder="1" applyAlignment="1" applyProtection="1">
      <alignment horizontal="left" vertical="center"/>
      <protection/>
    </xf>
    <xf numFmtId="0" fontId="34" fillId="24" borderId="12" xfId="0" applyFont="1" applyFill="1" applyBorder="1" applyAlignment="1" applyProtection="1">
      <alignment vertical="center"/>
      <protection/>
    </xf>
    <xf numFmtId="0" fontId="34" fillId="24" borderId="12" xfId="0" applyFont="1" applyFill="1" applyBorder="1" applyAlignment="1" applyProtection="1">
      <alignment vertical="center" wrapText="1"/>
      <protection/>
    </xf>
    <xf numFmtId="0" fontId="22" fillId="0" borderId="12" xfId="0" applyFont="1" applyBorder="1" applyAlignment="1">
      <alignment horizontal="center" vertical="center" wrapText="1"/>
    </xf>
    <xf numFmtId="0" fontId="22" fillId="0" borderId="12" xfId="0" applyFont="1" applyBorder="1" applyAlignment="1">
      <alignment horizontal="left" vertical="center"/>
    </xf>
    <xf numFmtId="0" fontId="0" fillId="0" borderId="12" xfId="0" applyBorder="1" applyAlignment="1">
      <alignment horizontal="center" vertical="center" wrapText="1"/>
    </xf>
    <xf numFmtId="184" fontId="21" fillId="25" borderId="12" xfId="0" applyNumberFormat="1" applyFont="1" applyFill="1" applyBorder="1" applyAlignment="1">
      <alignment vertical="center"/>
    </xf>
    <xf numFmtId="0" fontId="0" fillId="0" borderId="12" xfId="0" applyFont="1" applyBorder="1" applyAlignment="1">
      <alignment horizontal="center" vertical="center"/>
    </xf>
    <xf numFmtId="0" fontId="0" fillId="0" borderId="12" xfId="0" applyBorder="1" applyAlignment="1">
      <alignment horizontal="right" vertical="center" wrapText="1"/>
    </xf>
    <xf numFmtId="0" fontId="0" fillId="0" borderId="12" xfId="0" applyBorder="1" applyAlignment="1">
      <alignment horizontal="left" vertical="center"/>
    </xf>
    <xf numFmtId="0" fontId="0" fillId="0" borderId="12" xfId="0" applyBorder="1" applyAlignment="1">
      <alignment horizontal="left"/>
    </xf>
    <xf numFmtId="0" fontId="0" fillId="0" borderId="12" xfId="0" applyFont="1" applyBorder="1" applyAlignment="1">
      <alignment horizontal="left" vertical="center"/>
    </xf>
    <xf numFmtId="0" fontId="20" fillId="0" borderId="12" xfId="0" applyFont="1" applyBorder="1" applyAlignment="1">
      <alignment horizontal="right" vertical="center" wrapText="1"/>
    </xf>
    <xf numFmtId="0" fontId="28" fillId="0" borderId="12" xfId="0" applyFont="1" applyBorder="1" applyAlignment="1">
      <alignment horizontal="left" vertical="center"/>
    </xf>
    <xf numFmtId="0" fontId="0" fillId="0" borderId="12" xfId="0" applyBorder="1" applyAlignment="1" applyProtection="1">
      <alignment horizontal="right" vertical="center" wrapText="1"/>
      <protection hidden="1" locked="0"/>
    </xf>
    <xf numFmtId="0" fontId="20" fillId="0" borderId="12" xfId="0" applyFont="1" applyBorder="1" applyAlignment="1" applyProtection="1">
      <alignment horizontal="right" vertical="center" wrapText="1"/>
      <protection hidden="1" locked="0"/>
    </xf>
    <xf numFmtId="0" fontId="25" fillId="0" borderId="12" xfId="0" applyFont="1" applyBorder="1" applyAlignment="1">
      <alignment horizontal="left" vertical="center"/>
    </xf>
    <xf numFmtId="0" fontId="24"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xf>
    <xf numFmtId="0" fontId="0" fillId="26" borderId="12" xfId="0" applyFont="1" applyFill="1" applyBorder="1" applyAlignment="1">
      <alignment horizontal="center" vertical="center" wrapText="1"/>
    </xf>
    <xf numFmtId="0" fontId="0" fillId="26" borderId="12" xfId="0" applyFill="1" applyBorder="1" applyAlignment="1">
      <alignment horizontal="center"/>
    </xf>
    <xf numFmtId="0" fontId="0" fillId="26" borderId="12" xfId="0" applyFill="1" applyBorder="1" applyAlignment="1">
      <alignment/>
    </xf>
    <xf numFmtId="0" fontId="0" fillId="0" borderId="11" xfId="0"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Alignment="1">
      <alignment/>
    </xf>
    <xf numFmtId="0" fontId="0" fillId="0" borderId="0" xfId="0" applyNumberFormat="1" applyAlignment="1">
      <alignment horizontal="right"/>
    </xf>
    <xf numFmtId="0" fontId="0" fillId="0" borderId="12" xfId="0" applyBorder="1" applyAlignment="1">
      <alignment horizontal="left" vertical="center" wrapText="1"/>
    </xf>
    <xf numFmtId="0" fontId="0" fillId="0" borderId="0" xfId="0" applyAlignment="1">
      <alignment vertical="center" wrapText="1"/>
    </xf>
    <xf numFmtId="0" fontId="20" fillId="0" borderId="0" xfId="0" applyFont="1" applyAlignment="1">
      <alignment vertical="center"/>
    </xf>
    <xf numFmtId="0" fontId="64" fillId="27" borderId="12" xfId="0" applyFont="1" applyFill="1"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64" fillId="27" borderId="12" xfId="0" applyFont="1" applyFill="1" applyBorder="1" applyAlignment="1" applyProtection="1">
      <alignment horizontal="center" vertical="center"/>
      <protection locked="0"/>
    </xf>
    <xf numFmtId="0" fontId="0" fillId="0" borderId="14" xfId="0" applyFont="1" applyBorder="1" applyAlignment="1" applyProtection="1">
      <alignment horizontal="right" vertical="center"/>
      <protection hidden="1" locked="0"/>
    </xf>
    <xf numFmtId="0" fontId="0" fillId="0" borderId="13" xfId="0" applyBorder="1" applyAlignment="1" applyProtection="1">
      <alignment vertical="center"/>
      <protection hidden="1" locked="0"/>
    </xf>
    <xf numFmtId="0" fontId="24" fillId="0" borderId="13" xfId="0" applyFont="1" applyBorder="1" applyAlignment="1" applyProtection="1">
      <alignment vertical="center" wrapText="1"/>
      <protection hidden="1" locked="0"/>
    </xf>
    <xf numFmtId="0" fontId="0" fillId="0" borderId="14" xfId="0" applyBorder="1" applyAlignment="1" applyProtection="1">
      <alignment vertical="center"/>
      <protection hidden="1" locked="0"/>
    </xf>
    <xf numFmtId="0" fontId="0" fillId="0" borderId="0" xfId="0" applyFont="1" applyFill="1" applyBorder="1" applyAlignment="1">
      <alignment horizontal="center" vertical="center" wrapText="1"/>
    </xf>
    <xf numFmtId="0" fontId="0" fillId="0" borderId="12" xfId="0" applyBorder="1" applyAlignment="1">
      <alignment vertical="center"/>
    </xf>
    <xf numFmtId="206" fontId="0" fillId="0" borderId="0" xfId="0" applyNumberForma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NumberFormat="1" applyAlignment="1">
      <alignment vertical="center"/>
    </xf>
    <xf numFmtId="0" fontId="0" fillId="26" borderId="0" xfId="0" applyFill="1" applyBorder="1" applyAlignment="1">
      <alignment horizontal="center"/>
    </xf>
    <xf numFmtId="0" fontId="0" fillId="26" borderId="0" xfId="0" applyFill="1" applyBorder="1" applyAlignment="1">
      <alignment/>
    </xf>
    <xf numFmtId="182" fontId="64" fillId="27" borderId="12" xfId="0" applyNumberFormat="1" applyFont="1" applyFill="1" applyBorder="1" applyAlignment="1" applyProtection="1">
      <alignment horizontal="center" vertical="center"/>
      <protection locked="0"/>
    </xf>
    <xf numFmtId="0" fontId="0" fillId="24" borderId="12" xfId="0" applyFont="1" applyFill="1" applyBorder="1" applyAlignment="1" applyProtection="1">
      <alignment horizontal="left" vertical="center" wrapText="1"/>
      <protection/>
    </xf>
    <xf numFmtId="182" fontId="0" fillId="0" borderId="0" xfId="0" applyNumberFormat="1" applyAlignment="1" applyProtection="1">
      <alignment horizontal="left" shrinkToFit="1"/>
      <protection hidden="1" locked="0"/>
    </xf>
    <xf numFmtId="49" fontId="0" fillId="26" borderId="0" xfId="0" applyNumberFormat="1" applyFont="1" applyFill="1" applyBorder="1" applyAlignment="1">
      <alignment/>
    </xf>
    <xf numFmtId="0" fontId="0" fillId="0" borderId="0" xfId="0" applyNumberFormat="1" applyFont="1" applyAlignment="1">
      <alignment/>
    </xf>
    <xf numFmtId="0" fontId="0" fillId="0" borderId="12" xfId="0" applyFont="1" applyBorder="1" applyAlignment="1">
      <alignment horizontal="center" vertical="center" textRotation="90" wrapText="1"/>
    </xf>
    <xf numFmtId="0" fontId="0" fillId="0" borderId="0" xfId="58" applyAlignment="1" applyProtection="1">
      <alignment vertical="center"/>
      <protection hidden="1"/>
    </xf>
    <xf numFmtId="0" fontId="29" fillId="0" borderId="0" xfId="58" applyFont="1" applyAlignment="1" applyProtection="1">
      <alignment horizontal="center" vertical="center"/>
      <protection hidden="1"/>
    </xf>
    <xf numFmtId="0" fontId="29" fillId="0" borderId="0" xfId="58" applyFont="1" applyAlignment="1" applyProtection="1">
      <alignment vertical="center"/>
      <protection hidden="1"/>
    </xf>
    <xf numFmtId="0" fontId="38" fillId="0" borderId="15" xfId="58" applyFont="1" applyBorder="1" applyAlignment="1" applyProtection="1">
      <alignment vertical="center" wrapText="1"/>
      <protection hidden="1"/>
    </xf>
    <xf numFmtId="204" fontId="25" fillId="0" borderId="0" xfId="58" applyNumberFormat="1" applyFont="1" applyBorder="1" applyAlignment="1" applyProtection="1">
      <alignment vertical="center"/>
      <protection hidden="1"/>
    </xf>
    <xf numFmtId="201" fontId="39" fillId="0" borderId="0" xfId="58" applyNumberFormat="1" applyFont="1" applyBorder="1" applyAlignment="1" applyProtection="1">
      <alignment horizontal="left" vertical="center"/>
      <protection hidden="1"/>
    </xf>
    <xf numFmtId="0" fontId="0" fillId="0" borderId="16" xfId="58" applyBorder="1" applyAlignment="1" applyProtection="1">
      <alignment vertical="center"/>
      <protection hidden="1"/>
    </xf>
    <xf numFmtId="0" fontId="20" fillId="0" borderId="0" xfId="58" applyFont="1" applyBorder="1" applyAlignment="1" applyProtection="1">
      <alignment horizontal="center" vertical="center"/>
      <protection hidden="1"/>
    </xf>
    <xf numFmtId="0" fontId="0" fillId="0" borderId="0" xfId="58" applyAlignment="1" applyProtection="1">
      <alignment horizontal="center" vertical="center"/>
      <protection hidden="1"/>
    </xf>
    <xf numFmtId="0" fontId="0" fillId="0" borderId="17" xfId="58" applyBorder="1" applyAlignment="1" applyProtection="1">
      <alignment vertical="center"/>
      <protection hidden="1"/>
    </xf>
    <xf numFmtId="0" fontId="0" fillId="0" borderId="0" xfId="58" applyBorder="1" applyAlignment="1" applyProtection="1">
      <alignment horizontal="center" vertical="center"/>
      <protection hidden="1"/>
    </xf>
    <xf numFmtId="0" fontId="0" fillId="0" borderId="18" xfId="58" applyBorder="1" applyAlignment="1" applyProtection="1">
      <alignment vertical="center"/>
      <protection hidden="1"/>
    </xf>
    <xf numFmtId="0" fontId="0" fillId="0" borderId="12" xfId="58" applyFont="1" applyBorder="1" applyAlignment="1" applyProtection="1">
      <alignment horizontal="center" vertical="center"/>
      <protection hidden="1"/>
    </xf>
    <xf numFmtId="0" fontId="0" fillId="0" borderId="13" xfId="58" applyFont="1" applyBorder="1" applyAlignment="1" applyProtection="1">
      <alignment horizontal="center" vertical="center"/>
      <protection hidden="1"/>
    </xf>
    <xf numFmtId="0" fontId="0" fillId="0" borderId="0" xfId="58" applyAlignment="1" applyProtection="1">
      <alignment horizontal="left" vertical="center"/>
      <protection hidden="1"/>
    </xf>
    <xf numFmtId="0" fontId="0" fillId="0" borderId="0" xfId="58" applyFont="1" applyAlignment="1" applyProtection="1">
      <alignment horizontal="left" vertical="center"/>
      <protection hidden="1"/>
    </xf>
    <xf numFmtId="0" fontId="0" fillId="0" borderId="0" xfId="58" applyFont="1" applyBorder="1" applyAlignment="1" applyProtection="1">
      <alignment horizontal="center" vertical="center"/>
      <protection hidden="1"/>
    </xf>
    <xf numFmtId="0" fontId="0" fillId="0" borderId="19" xfId="58" applyBorder="1" applyAlignment="1" applyProtection="1">
      <alignment vertical="center"/>
      <protection hidden="1"/>
    </xf>
    <xf numFmtId="0" fontId="0" fillId="0" borderId="15" xfId="58" applyBorder="1" applyAlignment="1" applyProtection="1">
      <alignment horizontal="center" vertical="center"/>
      <protection hidden="1"/>
    </xf>
    <xf numFmtId="0" fontId="0" fillId="0" borderId="20" xfId="58" applyBorder="1" applyAlignment="1" applyProtection="1">
      <alignment vertical="center"/>
      <protection hidden="1"/>
    </xf>
    <xf numFmtId="0" fontId="0" fillId="0" borderId="0" xfId="58" applyAlignment="1" applyProtection="1">
      <alignment vertical="top"/>
      <protection hidden="1"/>
    </xf>
    <xf numFmtId="0" fontId="0" fillId="0" borderId="0" xfId="58" applyFont="1" applyBorder="1" applyAlignment="1" applyProtection="1">
      <alignment horizontal="center" vertical="top"/>
      <protection hidden="1"/>
    </xf>
    <xf numFmtId="0" fontId="0" fillId="0" borderId="0" xfId="58" applyAlignment="1" applyProtection="1">
      <alignment horizontal="center" vertical="top"/>
      <protection hidden="1"/>
    </xf>
    <xf numFmtId="49" fontId="0" fillId="0" borderId="0" xfId="58" applyNumberFormat="1" applyAlignment="1" applyProtection="1">
      <alignment vertical="top"/>
      <protection hidden="1"/>
    </xf>
    <xf numFmtId="0" fontId="39" fillId="0" borderId="0" xfId="58" applyFont="1" applyBorder="1" applyAlignment="1" applyProtection="1">
      <alignment horizontal="right" vertical="center"/>
      <protection hidden="1"/>
    </xf>
    <xf numFmtId="0" fontId="43" fillId="0" borderId="0" xfId="58" applyFont="1" applyBorder="1" applyAlignment="1" applyProtection="1">
      <alignment vertical="center"/>
      <protection hidden="1"/>
    </xf>
    <xf numFmtId="0" fontId="0" fillId="0" borderId="0" xfId="58" applyBorder="1" applyAlignment="1" applyProtection="1">
      <alignment vertical="center"/>
      <protection hidden="1"/>
    </xf>
    <xf numFmtId="0" fontId="0" fillId="0" borderId="21" xfId="58" applyBorder="1" applyAlignment="1" applyProtection="1">
      <alignment vertical="center"/>
      <protection hidden="1"/>
    </xf>
    <xf numFmtId="0" fontId="0" fillId="0" borderId="22" xfId="58" applyBorder="1" applyAlignment="1" applyProtection="1">
      <alignment horizontal="center" vertical="center"/>
      <protection hidden="1"/>
    </xf>
    <xf numFmtId="0" fontId="20" fillId="0" borderId="21" xfId="58" applyFont="1" applyFill="1" applyBorder="1" applyAlignment="1" applyProtection="1">
      <alignment vertical="center"/>
      <protection hidden="1"/>
    </xf>
    <xf numFmtId="0" fontId="0" fillId="0" borderId="0" xfId="58" applyFill="1" applyBorder="1" applyAlignment="1" applyProtection="1">
      <alignment horizontal="left" vertical="center"/>
      <protection hidden="1"/>
    </xf>
    <xf numFmtId="0" fontId="0" fillId="0" borderId="12" xfId="58" applyFont="1" applyBorder="1" applyAlignment="1" applyProtection="1">
      <alignment horizontal="center" vertical="center"/>
      <protection hidden="1" locked="0"/>
    </xf>
    <xf numFmtId="0" fontId="0" fillId="0" borderId="17" xfId="58" applyFont="1" applyBorder="1" applyAlignment="1" applyProtection="1">
      <alignment horizontal="center" vertical="center"/>
      <protection hidden="1"/>
    </xf>
    <xf numFmtId="0" fontId="0" fillId="0" borderId="18" xfId="58" applyFont="1" applyBorder="1" applyAlignment="1" applyProtection="1">
      <alignment horizontal="center" vertical="center"/>
      <protection hidden="1"/>
    </xf>
    <xf numFmtId="0" fontId="0" fillId="0" borderId="17" xfId="58" applyBorder="1" applyAlignment="1" applyProtection="1">
      <alignment horizontal="center" vertical="center"/>
      <protection hidden="1"/>
    </xf>
    <xf numFmtId="0" fontId="0" fillId="0" borderId="0" xfId="58" applyBorder="1" applyAlignment="1" applyProtection="1">
      <alignment horizontal="left" vertical="center"/>
      <protection hidden="1"/>
    </xf>
    <xf numFmtId="2" fontId="0" fillId="0" borderId="0" xfId="58" applyNumberFormat="1" applyBorder="1" applyAlignment="1" applyProtection="1">
      <alignment horizontal="right" vertical="center" indent="1"/>
      <protection hidden="1" locked="0"/>
    </xf>
    <xf numFmtId="0" fontId="0" fillId="0" borderId="0" xfId="58" applyFont="1" applyBorder="1" applyAlignment="1" applyProtection="1">
      <alignment horizontal="center" vertical="center"/>
      <protection hidden="1" locked="0"/>
    </xf>
    <xf numFmtId="0" fontId="0" fillId="0" borderId="0" xfId="58" applyFont="1" applyAlignment="1" applyProtection="1">
      <alignment horizontal="center" vertical="center"/>
      <protection hidden="1"/>
    </xf>
    <xf numFmtId="0" fontId="0" fillId="0" borderId="0" xfId="58" applyFont="1" applyAlignment="1" applyProtection="1">
      <alignment horizontal="center" vertical="center"/>
      <protection hidden="1" locked="0"/>
    </xf>
    <xf numFmtId="0" fontId="0" fillId="0" borderId="0" xfId="58" applyNumberFormat="1" applyAlignment="1" applyProtection="1">
      <alignment vertical="center"/>
      <protection hidden="1"/>
    </xf>
    <xf numFmtId="0" fontId="0" fillId="0" borderId="0" xfId="58" applyBorder="1" applyAlignment="1" applyProtection="1">
      <alignment horizontal="center" vertical="center"/>
      <protection hidden="1" locked="0"/>
    </xf>
    <xf numFmtId="0" fontId="0" fillId="0" borderId="17" xfId="58" applyFill="1" applyBorder="1" applyAlignment="1" applyProtection="1">
      <alignment horizontal="center" vertical="top" wrapText="1"/>
      <protection hidden="1"/>
    </xf>
    <xf numFmtId="0" fontId="0" fillId="0" borderId="0" xfId="58" applyFill="1" applyBorder="1" applyAlignment="1" applyProtection="1">
      <alignment horizontal="left" vertical="center" wrapText="1"/>
      <protection hidden="1"/>
    </xf>
    <xf numFmtId="0" fontId="0" fillId="0" borderId="0" xfId="58" applyFill="1" applyBorder="1" applyAlignment="1" applyProtection="1">
      <alignment horizontal="center" vertical="center" wrapText="1"/>
      <protection hidden="1"/>
    </xf>
    <xf numFmtId="0" fontId="0" fillId="0" borderId="15" xfId="58" applyBorder="1" applyAlignment="1" applyProtection="1">
      <alignment vertical="center"/>
      <protection hidden="1"/>
    </xf>
    <xf numFmtId="0" fontId="0" fillId="0" borderId="20" xfId="58" applyBorder="1" applyAlignment="1" applyProtection="1">
      <alignment horizontal="center" vertical="center"/>
      <protection hidden="1"/>
    </xf>
    <xf numFmtId="0" fontId="0" fillId="0" borderId="17" xfId="58" applyFill="1" applyBorder="1" applyAlignment="1" applyProtection="1">
      <alignment horizontal="center" vertical="center" wrapText="1"/>
      <protection hidden="1"/>
    </xf>
    <xf numFmtId="0" fontId="0" fillId="0" borderId="0" xfId="58" applyFill="1" applyBorder="1" applyAlignment="1" applyProtection="1">
      <alignment vertical="center"/>
      <protection hidden="1"/>
    </xf>
    <xf numFmtId="0" fontId="0" fillId="0" borderId="0" xfId="58" applyAlignment="1" applyProtection="1">
      <alignment vertical="center"/>
      <protection hidden="1" locked="0"/>
    </xf>
    <xf numFmtId="0" fontId="0" fillId="0" borderId="17" xfId="58" applyFont="1" applyBorder="1" applyAlignment="1" applyProtection="1">
      <alignment vertical="center"/>
      <protection hidden="1"/>
    </xf>
    <xf numFmtId="0" fontId="0" fillId="0" borderId="0" xfId="58" applyFont="1" applyBorder="1" applyAlignment="1" applyProtection="1">
      <alignment vertical="center"/>
      <protection hidden="1"/>
    </xf>
    <xf numFmtId="0" fontId="0" fillId="0" borderId="18" xfId="58" applyFont="1" applyBorder="1" applyAlignment="1" applyProtection="1">
      <alignment vertical="center"/>
      <protection hidden="1"/>
    </xf>
    <xf numFmtId="0" fontId="0" fillId="0" borderId="0" xfId="58" applyFont="1" applyAlignment="1" applyProtection="1">
      <alignment vertical="center"/>
      <protection hidden="1"/>
    </xf>
    <xf numFmtId="0" fontId="0" fillId="0" borderId="0" xfId="58" applyAlignment="1" applyProtection="1">
      <alignment horizontal="right" vertical="center"/>
      <protection hidden="1"/>
    </xf>
    <xf numFmtId="0" fontId="0" fillId="0" borderId="0" xfId="58" applyAlignment="1" applyProtection="1" quotePrefix="1">
      <alignment vertical="center"/>
      <protection hidden="1"/>
    </xf>
    <xf numFmtId="2" fontId="0" fillId="0" borderId="18" xfId="58" applyNumberFormat="1" applyBorder="1" applyAlignment="1" applyProtection="1">
      <alignment horizontal="right" vertical="center" indent="3"/>
      <protection hidden="1"/>
    </xf>
    <xf numFmtId="0" fontId="0" fillId="0" borderId="0" xfId="58" applyAlignment="1" applyProtection="1">
      <alignment horizontal="left" vertical="center" indent="5"/>
      <protection hidden="1" locked="0"/>
    </xf>
    <xf numFmtId="0" fontId="0" fillId="0" borderId="0" xfId="58" applyAlignment="1" applyProtection="1">
      <alignment horizontal="left" vertical="center" indent="6"/>
      <protection hidden="1" locked="0"/>
    </xf>
    <xf numFmtId="49" fontId="0" fillId="0" borderId="0" xfId="58" applyNumberFormat="1" applyAlignment="1" applyProtection="1">
      <alignment vertical="center"/>
      <protection hidden="1"/>
    </xf>
    <xf numFmtId="0" fontId="0" fillId="0" borderId="0" xfId="58" applyAlignment="1" applyProtection="1">
      <alignment horizontal="left" vertical="center"/>
      <protection hidden="1" locked="0"/>
    </xf>
    <xf numFmtId="0" fontId="0" fillId="0" borderId="18" xfId="58" applyBorder="1" applyAlignment="1" applyProtection="1">
      <alignment horizontal="center" vertical="center"/>
      <protection hidden="1"/>
    </xf>
    <xf numFmtId="49" fontId="0" fillId="0" borderId="0" xfId="58" applyNumberFormat="1" applyAlignment="1" applyProtection="1">
      <alignment horizontal="left" vertical="center" wrapText="1"/>
      <protection hidden="1"/>
    </xf>
    <xf numFmtId="49" fontId="0" fillId="0" borderId="0" xfId="58" applyNumberFormat="1" applyAlignment="1" applyProtection="1">
      <alignment horizontal="left" vertical="center" wrapText="1"/>
      <protection hidden="1" locked="0"/>
    </xf>
    <xf numFmtId="0" fontId="0" fillId="0" borderId="0" xfId="58" applyFill="1" applyBorder="1" applyAlignment="1" applyProtection="1">
      <alignment vertical="center"/>
      <protection hidden="1" locked="0"/>
    </xf>
    <xf numFmtId="2" fontId="0" fillId="0" borderId="0" xfId="58" applyNumberFormat="1" applyAlignment="1" applyProtection="1">
      <alignment horizontal="right" vertical="center" indent="1"/>
      <protection hidden="1" locked="0"/>
    </xf>
    <xf numFmtId="2" fontId="20" fillId="0" borderId="18" xfId="58" applyNumberFormat="1" applyFont="1" applyBorder="1" applyAlignment="1" applyProtection="1">
      <alignment horizontal="right" vertical="center" indent="3"/>
      <protection hidden="1"/>
    </xf>
    <xf numFmtId="0" fontId="0" fillId="0" borderId="17" xfId="58" applyBorder="1" applyAlignment="1" applyProtection="1">
      <alignment horizontal="left" vertical="center"/>
      <protection hidden="1"/>
    </xf>
    <xf numFmtId="2" fontId="20" fillId="0" borderId="23" xfId="58" applyNumberFormat="1" applyFont="1" applyBorder="1" applyAlignment="1" applyProtection="1">
      <alignment horizontal="right" vertical="center" indent="1"/>
      <protection hidden="1"/>
    </xf>
    <xf numFmtId="0" fontId="44" fillId="0" borderId="0" xfId="58" applyFont="1" applyAlignment="1" applyProtection="1">
      <alignment horizontal="center" vertical="center" textRotation="90"/>
      <protection hidden="1"/>
    </xf>
    <xf numFmtId="0" fontId="0" fillId="0" borderId="0" xfId="58" applyAlignment="1" applyProtection="1">
      <alignment horizontal="left" vertical="center" wrapText="1"/>
      <protection hidden="1"/>
    </xf>
    <xf numFmtId="0" fontId="0" fillId="0" borderId="0" xfId="58" applyBorder="1" applyAlignment="1" applyProtection="1">
      <alignment horizontal="left" vertical="center" wrapText="1"/>
      <protection hidden="1"/>
    </xf>
    <xf numFmtId="0" fontId="0" fillId="0" borderId="18" xfId="58" applyBorder="1" applyAlignment="1" applyProtection="1">
      <alignment horizontal="left" vertical="center" wrapText="1"/>
      <protection hidden="1"/>
    </xf>
    <xf numFmtId="2" fontId="0" fillId="0" borderId="0" xfId="58" applyNumberFormat="1" applyBorder="1" applyAlignment="1" applyProtection="1">
      <alignment horizontal="right" vertical="center" indent="1"/>
      <protection hidden="1"/>
    </xf>
    <xf numFmtId="2" fontId="0" fillId="0" borderId="0" xfId="58" applyNumberFormat="1" applyAlignment="1" applyProtection="1">
      <alignment vertical="center"/>
      <protection hidden="1"/>
    </xf>
    <xf numFmtId="0" fontId="45" fillId="0" borderId="0" xfId="58" applyFont="1" applyBorder="1" applyAlignment="1" applyProtection="1">
      <alignment horizontal="center" vertical="top" wrapText="1"/>
      <protection hidden="1"/>
    </xf>
    <xf numFmtId="0" fontId="46" fillId="0" borderId="0" xfId="58" applyFont="1" applyBorder="1" applyAlignment="1" applyProtection="1">
      <alignment horizontal="center" vertical="center"/>
      <protection hidden="1"/>
    </xf>
    <xf numFmtId="0" fontId="0" fillId="0" borderId="0" xfId="58" applyAlignment="1" applyProtection="1">
      <alignment horizontal="center" vertical="center" wrapText="1"/>
      <protection hidden="1"/>
    </xf>
    <xf numFmtId="0" fontId="0" fillId="0" borderId="0" xfId="58" applyProtection="1">
      <alignment/>
      <protection hidden="1"/>
    </xf>
    <xf numFmtId="2" fontId="0" fillId="0" borderId="0" xfId="58" applyNumberFormat="1" applyProtection="1">
      <alignment/>
      <protection hidden="1"/>
    </xf>
    <xf numFmtId="0" fontId="0" fillId="0" borderId="0" xfId="58" applyProtection="1">
      <alignment/>
      <protection hidden="1" locked="0"/>
    </xf>
    <xf numFmtId="0" fontId="48" fillId="0" borderId="0" xfId="58" applyFont="1" applyProtection="1">
      <alignment/>
      <protection hidden="1"/>
    </xf>
    <xf numFmtId="0" fontId="48" fillId="0" borderId="0" xfId="58" applyFont="1" applyAlignment="1" applyProtection="1">
      <alignment horizontal="center"/>
      <protection hidden="1"/>
    </xf>
    <xf numFmtId="0" fontId="0" fillId="0" borderId="15" xfId="58" applyBorder="1" applyProtection="1">
      <alignment/>
      <protection hidden="1"/>
    </xf>
    <xf numFmtId="0" fontId="0" fillId="0" borderId="0" xfId="58" applyFont="1" applyProtection="1">
      <alignment/>
      <protection hidden="1"/>
    </xf>
    <xf numFmtId="1" fontId="0" fillId="0" borderId="0" xfId="58" applyNumberFormat="1" applyAlignment="1" applyProtection="1">
      <alignment horizontal="left"/>
      <protection hidden="1"/>
    </xf>
    <xf numFmtId="0" fontId="0" fillId="0" borderId="0" xfId="58" applyBorder="1" applyProtection="1">
      <alignment/>
      <protection hidden="1"/>
    </xf>
    <xf numFmtId="0" fontId="0" fillId="0" borderId="0" xfId="58" applyFont="1" applyProtection="1">
      <alignment/>
      <protection hidden="1" locked="0"/>
    </xf>
    <xf numFmtId="0" fontId="48" fillId="0" borderId="0" xfId="58" applyFont="1" applyProtection="1">
      <alignment/>
      <protection hidden="1" locked="0"/>
    </xf>
    <xf numFmtId="0" fontId="50" fillId="0" borderId="0" xfId="58" applyFont="1" applyProtection="1">
      <alignment/>
      <protection hidden="1" locked="0"/>
    </xf>
    <xf numFmtId="0" fontId="31" fillId="0" borderId="0" xfId="59" applyFont="1" applyAlignment="1" applyProtection="1">
      <alignment horizontal="center" vertical="center"/>
      <protection hidden="1"/>
    </xf>
    <xf numFmtId="0" fontId="0" fillId="0" borderId="0" xfId="59" applyProtection="1">
      <alignment/>
      <protection hidden="1"/>
    </xf>
    <xf numFmtId="0" fontId="0" fillId="0" borderId="0" xfId="59" applyAlignment="1" applyProtection="1">
      <alignment/>
      <protection hidden="1"/>
    </xf>
    <xf numFmtId="0" fontId="0" fillId="0" borderId="0" xfId="59" applyAlignment="1" applyProtection="1">
      <alignment horizontal="center"/>
      <protection hidden="1"/>
    </xf>
    <xf numFmtId="0" fontId="0" fillId="0" borderId="0" xfId="59" applyAlignment="1" applyProtection="1">
      <alignment horizontal="left" vertical="center"/>
      <protection hidden="1"/>
    </xf>
    <xf numFmtId="0" fontId="0" fillId="0" borderId="12" xfId="59" applyBorder="1" applyAlignment="1" applyProtection="1">
      <alignment horizontal="center" vertical="center"/>
      <protection hidden="1"/>
    </xf>
    <xf numFmtId="0" fontId="0" fillId="0" borderId="0" xfId="59" applyAlignment="1" applyProtection="1">
      <alignment horizontal="center" vertical="center"/>
      <protection hidden="1"/>
    </xf>
    <xf numFmtId="0" fontId="0" fillId="0" borderId="22" xfId="59" applyBorder="1" applyAlignment="1" applyProtection="1">
      <alignment horizontal="left" vertical="center"/>
      <protection hidden="1"/>
    </xf>
    <xf numFmtId="0" fontId="0" fillId="0" borderId="21" xfId="59" applyBorder="1" applyAlignment="1" applyProtection="1">
      <alignment horizontal="left" vertical="center"/>
      <protection hidden="1"/>
    </xf>
    <xf numFmtId="0" fontId="0" fillId="0" borderId="16" xfId="59" applyBorder="1" applyAlignment="1" applyProtection="1">
      <alignment horizontal="left" vertical="center"/>
      <protection hidden="1"/>
    </xf>
    <xf numFmtId="0" fontId="0" fillId="0" borderId="0" xfId="59" applyBorder="1" applyAlignment="1" applyProtection="1">
      <alignment horizontal="left" vertical="center"/>
      <protection hidden="1"/>
    </xf>
    <xf numFmtId="0" fontId="0" fillId="0" borderId="0" xfId="59" applyAlignment="1" applyProtection="1">
      <alignment horizontal="left"/>
      <protection hidden="1"/>
    </xf>
    <xf numFmtId="0" fontId="0" fillId="0" borderId="17" xfId="59" applyFont="1" applyBorder="1" applyAlignment="1" applyProtection="1">
      <alignment vertical="center"/>
      <protection hidden="1"/>
    </xf>
    <xf numFmtId="0" fontId="0" fillId="0" borderId="18" xfId="59" applyBorder="1" applyAlignment="1" applyProtection="1">
      <alignment horizontal="left" vertical="center"/>
      <protection hidden="1"/>
    </xf>
    <xf numFmtId="0" fontId="32" fillId="0" borderId="0" xfId="59" applyFont="1" applyAlignment="1" applyProtection="1">
      <alignment horizontal="left" vertical="center"/>
      <protection hidden="1"/>
    </xf>
    <xf numFmtId="49" fontId="53" fillId="0" borderId="0" xfId="59" applyNumberFormat="1" applyFont="1" applyAlignment="1" applyProtection="1">
      <alignment horizontal="left" vertical="center"/>
      <protection hidden="1"/>
    </xf>
    <xf numFmtId="0" fontId="0" fillId="0" borderId="0" xfId="59" applyAlignment="1" applyProtection="1">
      <alignment vertical="center"/>
      <protection hidden="1"/>
    </xf>
    <xf numFmtId="0" fontId="0" fillId="0" borderId="17" xfId="59" applyBorder="1" applyAlignment="1" applyProtection="1">
      <alignment vertical="center"/>
      <protection hidden="1"/>
    </xf>
    <xf numFmtId="0" fontId="0" fillId="0" borderId="15" xfId="59" applyBorder="1" applyAlignment="1" applyProtection="1">
      <alignment horizontal="left" vertical="center"/>
      <protection hidden="1"/>
    </xf>
    <xf numFmtId="0" fontId="53" fillId="0" borderId="0" xfId="59" applyFont="1" applyAlignment="1" applyProtection="1">
      <alignment horizontal="left" vertical="center"/>
      <protection hidden="1"/>
    </xf>
    <xf numFmtId="0" fontId="32" fillId="0" borderId="0" xfId="59" applyFont="1" applyAlignment="1" applyProtection="1">
      <alignment vertical="center"/>
      <protection hidden="1"/>
    </xf>
    <xf numFmtId="0" fontId="0" fillId="0" borderId="19" xfId="59" applyBorder="1" applyAlignment="1" applyProtection="1">
      <alignment horizontal="left" vertical="center"/>
      <protection hidden="1"/>
    </xf>
    <xf numFmtId="0" fontId="0" fillId="0" borderId="24" xfId="59" applyBorder="1" applyAlignment="1" applyProtection="1">
      <alignment horizontal="left" vertical="center"/>
      <protection hidden="1"/>
    </xf>
    <xf numFmtId="0" fontId="0" fillId="0" borderId="20" xfId="59" applyBorder="1" applyAlignment="1" applyProtection="1">
      <alignment horizontal="left" vertical="center"/>
      <protection hidden="1"/>
    </xf>
    <xf numFmtId="2" fontId="40" fillId="0" borderId="0" xfId="59" applyNumberFormat="1" applyFont="1" applyAlignment="1" applyProtection="1">
      <alignment vertical="center"/>
      <protection hidden="1"/>
    </xf>
    <xf numFmtId="0" fontId="0" fillId="0" borderId="0" xfId="0" applyAlignment="1">
      <alignment shrinkToFit="1"/>
    </xf>
    <xf numFmtId="0" fontId="0" fillId="0" borderId="0" xfId="59" applyFont="1" applyAlignment="1" applyProtection="1">
      <alignment horizontal="left" indent="1"/>
      <protection hidden="1"/>
    </xf>
    <xf numFmtId="0" fontId="0" fillId="0" borderId="25" xfId="59" applyBorder="1" applyAlignment="1" applyProtection="1">
      <alignment horizontal="center" vertical="center"/>
      <protection hidden="1"/>
    </xf>
    <xf numFmtId="0" fontId="0" fillId="0" borderId="0" xfId="59" applyBorder="1" applyAlignment="1" applyProtection="1">
      <alignment horizontal="center" vertical="center"/>
      <protection hidden="1"/>
    </xf>
    <xf numFmtId="0" fontId="0" fillId="0" borderId="0" xfId="59" applyFont="1" applyProtection="1">
      <alignment/>
      <protection hidden="1"/>
    </xf>
    <xf numFmtId="0" fontId="56" fillId="0" borderId="26" xfId="59" applyFont="1" applyBorder="1" applyProtection="1">
      <alignment/>
      <protection hidden="1"/>
    </xf>
    <xf numFmtId="0" fontId="0" fillId="0" borderId="26" xfId="59" applyBorder="1" applyProtection="1">
      <alignment/>
      <protection hidden="1"/>
    </xf>
    <xf numFmtId="49" fontId="58" fillId="0" borderId="26" xfId="59" applyNumberFormat="1" applyFont="1" applyBorder="1" applyAlignment="1" applyProtection="1">
      <alignment horizontal="right"/>
      <protection hidden="1"/>
    </xf>
    <xf numFmtId="200" fontId="58" fillId="0" borderId="26" xfId="59" applyNumberFormat="1" applyFont="1" applyBorder="1" applyAlignment="1" applyProtection="1">
      <alignment horizontal="left"/>
      <protection hidden="1"/>
    </xf>
    <xf numFmtId="0" fontId="0" fillId="0" borderId="0" xfId="59" applyFont="1" applyAlignment="1" applyProtection="1">
      <alignment horizontal="right"/>
      <protection hidden="1"/>
    </xf>
    <xf numFmtId="2" fontId="0" fillId="0" borderId="26" xfId="59" applyNumberFormat="1" applyBorder="1" applyAlignment="1" applyProtection="1">
      <alignment horizontal="right"/>
      <protection hidden="1"/>
    </xf>
    <xf numFmtId="0" fontId="0" fillId="0" borderId="0" xfId="59" applyFont="1" applyAlignment="1" applyProtection="1">
      <alignment horizontal="left" vertical="center"/>
      <protection hidden="1"/>
    </xf>
    <xf numFmtId="0" fontId="0" fillId="0" borderId="0" xfId="59" applyFont="1" applyAlignment="1" applyProtection="1">
      <alignment horizontal="left" vertical="center" indent="1"/>
      <protection hidden="1"/>
    </xf>
    <xf numFmtId="0" fontId="0" fillId="0" borderId="0" xfId="59" applyAlignment="1" applyProtection="1">
      <alignment horizontal="left" vertical="center"/>
      <protection hidden="1" locked="0"/>
    </xf>
    <xf numFmtId="0" fontId="0" fillId="0" borderId="17" xfId="59" applyBorder="1" applyAlignment="1" applyProtection="1">
      <alignment horizontal="left" vertical="center"/>
      <protection hidden="1"/>
    </xf>
    <xf numFmtId="0" fontId="32" fillId="0" borderId="0" xfId="59" applyFont="1" applyProtection="1">
      <alignment/>
      <protection hidden="1"/>
    </xf>
    <xf numFmtId="0" fontId="0" fillId="0" borderId="0" xfId="59" applyAlignment="1" applyProtection="1">
      <alignment horizontal="right"/>
      <protection hidden="1"/>
    </xf>
    <xf numFmtId="2" fontId="40" fillId="0" borderId="0" xfId="59" applyNumberFormat="1" applyFont="1" applyBorder="1" applyAlignment="1" applyProtection="1">
      <alignment horizontal="center"/>
      <protection hidden="1"/>
    </xf>
    <xf numFmtId="0" fontId="55" fillId="0" borderId="15" xfId="59" applyFont="1" applyBorder="1" applyProtection="1">
      <alignment/>
      <protection hidden="1"/>
    </xf>
    <xf numFmtId="0" fontId="0" fillId="0" borderId="0" xfId="59" applyFont="1" applyAlignment="1" applyProtection="1">
      <alignment horizontal="left"/>
      <protection hidden="1"/>
    </xf>
    <xf numFmtId="184" fontId="0" fillId="0" borderId="0" xfId="58" applyNumberFormat="1">
      <alignment/>
      <protection/>
    </xf>
    <xf numFmtId="0" fontId="0" fillId="0" borderId="0" xfId="58">
      <alignment/>
      <protection/>
    </xf>
    <xf numFmtId="0" fontId="0" fillId="0" borderId="0" xfId="0" applyBorder="1" applyAlignment="1">
      <alignment horizontal="center" vertical="center" wrapText="1"/>
    </xf>
    <xf numFmtId="0" fontId="0" fillId="0" borderId="0" xfId="0" applyBorder="1" applyAlignment="1">
      <alignment horizontal="left" vertical="center" wrapText="1"/>
    </xf>
    <xf numFmtId="0" fontId="64" fillId="27" borderId="12" xfId="0" applyFont="1" applyFill="1" applyBorder="1" applyAlignment="1" applyProtection="1">
      <alignment horizontal="center" vertical="center"/>
      <protection locked="0"/>
    </xf>
    <xf numFmtId="0" fontId="0" fillId="0" borderId="12" xfId="0" applyBorder="1" applyAlignment="1" applyProtection="1">
      <alignment vertical="center" shrinkToFit="1"/>
      <protection hidden="1" locked="0"/>
    </xf>
    <xf numFmtId="0" fontId="0" fillId="0" borderId="13" xfId="0" applyBorder="1" applyAlignment="1">
      <alignment horizontal="left" vertical="center"/>
    </xf>
    <xf numFmtId="0" fontId="0" fillId="0" borderId="22"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31" fillId="28" borderId="12" xfId="0" applyFont="1" applyFill="1" applyBorder="1" applyAlignment="1">
      <alignment horizontal="center" wrapText="1"/>
    </xf>
    <xf numFmtId="182" fontId="64" fillId="27" borderId="12" xfId="0" applyNumberFormat="1" applyFont="1" applyFill="1" applyBorder="1" applyAlignment="1" applyProtection="1">
      <alignment horizontal="center" vertical="center"/>
      <protection locked="0"/>
    </xf>
    <xf numFmtId="49" fontId="64" fillId="27" borderId="12" xfId="0" applyNumberFormat="1" applyFont="1" applyFill="1" applyBorder="1" applyAlignment="1" applyProtection="1">
      <alignment horizontal="center" vertical="center"/>
      <protection locked="0"/>
    </xf>
    <xf numFmtId="0" fontId="64" fillId="27" borderId="12" xfId="0" applyFont="1" applyFill="1" applyBorder="1" applyAlignment="1" applyProtection="1">
      <alignment horizontal="center" vertical="center"/>
      <protection locked="0"/>
    </xf>
    <xf numFmtId="0" fontId="31" fillId="28" borderId="12" xfId="0" applyFont="1" applyFill="1" applyBorder="1" applyAlignment="1">
      <alignment horizontal="center" vertical="center" wrapText="1"/>
    </xf>
    <xf numFmtId="201" fontId="64" fillId="27" borderId="12" xfId="0" applyNumberFormat="1" applyFont="1" applyFill="1" applyBorder="1" applyAlignment="1" applyProtection="1">
      <alignment horizontal="center" vertical="center"/>
      <protection hidden="1" locked="0"/>
    </xf>
    <xf numFmtId="0" fontId="64" fillId="27" borderId="14" xfId="0" applyFont="1" applyFill="1" applyBorder="1" applyAlignment="1" applyProtection="1">
      <alignment horizontal="center" vertical="center"/>
      <protection locked="0"/>
    </xf>
    <xf numFmtId="0" fontId="64" fillId="27" borderId="13" xfId="0" applyFont="1" applyFill="1" applyBorder="1" applyAlignment="1" applyProtection="1">
      <alignment horizontal="center" vertical="center"/>
      <protection locked="0"/>
    </xf>
    <xf numFmtId="0" fontId="65" fillId="29" borderId="0" xfId="0" applyFont="1" applyFill="1" applyAlignment="1">
      <alignment horizontal="center" vertical="center" wrapText="1"/>
    </xf>
    <xf numFmtId="0" fontId="65" fillId="29" borderId="0" xfId="0" applyFont="1" applyFill="1" applyAlignment="1">
      <alignment horizontal="center" vertical="center"/>
    </xf>
    <xf numFmtId="0" fontId="35" fillId="26" borderId="22" xfId="0" applyFont="1" applyFill="1" applyBorder="1" applyAlignment="1">
      <alignment horizontal="center" vertical="center"/>
    </xf>
    <xf numFmtId="0" fontId="35" fillId="26" borderId="21" xfId="0" applyFont="1" applyFill="1" applyBorder="1" applyAlignment="1">
      <alignment horizontal="center" vertical="center"/>
    </xf>
    <xf numFmtId="0" fontId="35" fillId="26" borderId="16"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8"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20" xfId="0" applyFont="1" applyFill="1" applyBorder="1" applyAlignment="1">
      <alignment horizontal="center" vertical="center"/>
    </xf>
    <xf numFmtId="0" fontId="20" fillId="0" borderId="0" xfId="0" applyFont="1" applyAlignment="1">
      <alignment horizontal="center"/>
    </xf>
    <xf numFmtId="0" fontId="20" fillId="0" borderId="14" xfId="0" applyFont="1" applyBorder="1" applyAlignment="1">
      <alignment horizontal="center"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0" fillId="0" borderId="24" xfId="0" applyFont="1" applyBorder="1" applyAlignment="1">
      <alignment horizontal="justify" vertical="center" wrapText="1"/>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13" xfId="0" applyFont="1" applyBorder="1" applyAlignment="1">
      <alignment horizontal="left" vertical="center" wrapText="1"/>
    </xf>
    <xf numFmtId="2" fontId="0" fillId="0" borderId="14" xfId="0" applyNumberFormat="1" applyFont="1" applyBorder="1" applyAlignment="1" applyProtection="1">
      <alignment horizontal="center" vertical="center"/>
      <protection hidden="1" locked="0"/>
    </xf>
    <xf numFmtId="2" fontId="0" fillId="0" borderId="13" xfId="0" applyNumberFormat="1" applyFont="1" applyBorder="1" applyAlignment="1" applyProtection="1">
      <alignment horizontal="center" vertical="center"/>
      <protection hidden="1" locked="0"/>
    </xf>
    <xf numFmtId="0" fontId="0" fillId="0" borderId="21" xfId="0" applyFont="1" applyBorder="1" applyAlignment="1">
      <alignment horizontal="left" vertical="center" wrapText="1"/>
    </xf>
    <xf numFmtId="0" fontId="0" fillId="0" borderId="0" xfId="0" applyNumberFormat="1" applyFont="1" applyAlignment="1">
      <alignment horizontal="left" shrinkToFit="1"/>
    </xf>
    <xf numFmtId="2" fontId="20" fillId="0" borderId="14" xfId="0" applyNumberFormat="1" applyFont="1" applyBorder="1" applyAlignment="1">
      <alignment horizontal="center" vertical="center"/>
    </xf>
    <xf numFmtId="2" fontId="20" fillId="0" borderId="13" xfId="0" applyNumberFormat="1" applyFont="1" applyBorder="1" applyAlignment="1">
      <alignment horizontal="center" vertical="center"/>
    </xf>
    <xf numFmtId="0" fontId="0" fillId="0" borderId="0" xfId="0" applyFont="1" applyAlignment="1">
      <alignment horizontal="justify" vertical="center" wrapText="1"/>
    </xf>
    <xf numFmtId="0" fontId="0" fillId="0" borderId="0" xfId="0" applyAlignment="1">
      <alignment horizontal="justify" vertic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pplyProtection="1">
      <alignment horizontal="left" vertical="center" wrapText="1"/>
      <protection hidden="1" locked="0"/>
    </xf>
    <xf numFmtId="0" fontId="20" fillId="0" borderId="14" xfId="0" applyFont="1" applyBorder="1" applyAlignment="1" applyProtection="1">
      <alignment horizontal="center" vertical="center"/>
      <protection hidden="1" locked="0"/>
    </xf>
    <xf numFmtId="0" fontId="20" fillId="0" borderId="24" xfId="0" applyFont="1" applyBorder="1" applyAlignment="1" applyProtection="1">
      <alignment horizontal="center" vertical="center"/>
      <protection hidden="1" locked="0"/>
    </xf>
    <xf numFmtId="0" fontId="20" fillId="0" borderId="13" xfId="0" applyFont="1" applyBorder="1" applyAlignment="1" applyProtection="1">
      <alignment horizontal="center" vertical="center"/>
      <protection hidden="1" locked="0"/>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14" xfId="0" applyFont="1" applyBorder="1" applyAlignment="1" applyProtection="1">
      <alignment horizontal="center" vertical="center"/>
      <protection hidden="1" locked="0"/>
    </xf>
    <xf numFmtId="0" fontId="0" fillId="0" borderId="24" xfId="0" applyFont="1" applyBorder="1" applyAlignment="1" applyProtection="1">
      <alignment horizontal="center" vertical="center"/>
      <protection hidden="1" locked="0"/>
    </xf>
    <xf numFmtId="0" fontId="0" fillId="0" borderId="13" xfId="0" applyFont="1" applyBorder="1" applyAlignment="1" applyProtection="1">
      <alignment horizontal="center" vertical="center"/>
      <protection hidden="1" locked="0"/>
    </xf>
    <xf numFmtId="0" fontId="20" fillId="0" borderId="24" xfId="0" applyFont="1" applyBorder="1" applyAlignment="1">
      <alignment horizontal="center" vertical="center" wrapText="1"/>
    </xf>
    <xf numFmtId="0" fontId="20" fillId="0" borderId="14" xfId="0" applyFont="1" applyBorder="1" applyAlignment="1">
      <alignment horizontal="center" vertical="top" wrapText="1"/>
    </xf>
    <xf numFmtId="0" fontId="20" fillId="0" borderId="13" xfId="0" applyFont="1" applyBorder="1" applyAlignment="1">
      <alignment horizontal="center" vertical="top" wrapText="1"/>
    </xf>
    <xf numFmtId="0" fontId="29" fillId="0" borderId="0" xfId="0" applyFont="1" applyAlignment="1">
      <alignment horizontal="center" shrinkToFit="1"/>
    </xf>
    <xf numFmtId="0" fontId="0" fillId="0" borderId="0" xfId="0" applyFont="1" applyAlignment="1" applyProtection="1">
      <alignment horizontal="justify" vertical="top" wrapText="1"/>
      <protection hidden="1" locked="0"/>
    </xf>
    <xf numFmtId="0" fontId="0" fillId="0" borderId="0" xfId="0" applyAlignment="1" applyProtection="1">
      <alignment horizontal="justify" vertical="top" wrapText="1"/>
      <protection hidden="1" locked="0"/>
    </xf>
    <xf numFmtId="0" fontId="30"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center" vertical="center"/>
    </xf>
    <xf numFmtId="0" fontId="32" fillId="0" borderId="12" xfId="0" applyFont="1" applyBorder="1" applyAlignment="1" applyProtection="1">
      <alignment horizontal="left" vertical="top" wrapText="1"/>
      <protection hidden="1" locked="0"/>
    </xf>
    <xf numFmtId="0" fontId="20" fillId="0" borderId="0" xfId="0" applyFont="1" applyAlignment="1">
      <alignment horizontal="center" vertical="center" wrapText="1"/>
    </xf>
    <xf numFmtId="0" fontId="0" fillId="0" borderId="0" xfId="0" applyAlignment="1">
      <alignment/>
    </xf>
    <xf numFmtId="0" fontId="0" fillId="0" borderId="15" xfId="0" applyBorder="1" applyAlignment="1">
      <alignment/>
    </xf>
    <xf numFmtId="0" fontId="22" fillId="0" borderId="12" xfId="0" applyFont="1" applyBorder="1" applyAlignment="1">
      <alignment horizontal="center" vertical="center" wrapText="1"/>
    </xf>
    <xf numFmtId="0" fontId="20" fillId="0" borderId="12" xfId="0" applyFont="1" applyBorder="1" applyAlignment="1">
      <alignment horizontal="left" vertical="center" wrapText="1"/>
    </xf>
    <xf numFmtId="0" fontId="0" fillId="0" borderId="24" xfId="0" applyBorder="1" applyAlignment="1">
      <alignment horizontal="left"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182" fontId="0" fillId="0" borderId="12" xfId="0" applyNumberFormat="1" applyBorder="1" applyAlignment="1" applyProtection="1">
      <alignment horizontal="center" vertical="center"/>
      <protection hidden="1" locked="0"/>
    </xf>
    <xf numFmtId="0" fontId="0" fillId="0" borderId="14" xfId="0" applyBorder="1" applyAlignment="1">
      <alignment horizontal="right" vertical="center" wrapText="1" shrinkToFit="1"/>
    </xf>
    <xf numFmtId="0" fontId="0" fillId="0" borderId="24" xfId="0" applyBorder="1" applyAlignment="1">
      <alignment horizontal="right" vertical="center" wrapText="1" shrinkToFit="1"/>
    </xf>
    <xf numFmtId="0" fontId="24" fillId="0" borderId="12" xfId="0" applyFont="1" applyBorder="1" applyAlignment="1" applyProtection="1">
      <alignment horizontal="left" vertical="top" wrapText="1"/>
      <protection hidden="1" locked="0"/>
    </xf>
    <xf numFmtId="0" fontId="27" fillId="0" borderId="14"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182" fontId="0" fillId="0" borderId="14" xfId="0" applyNumberFormat="1" applyBorder="1" applyAlignment="1" applyProtection="1">
      <alignment horizontal="center" vertical="center"/>
      <protection hidden="1" locked="0"/>
    </xf>
    <xf numFmtId="182" fontId="0" fillId="0" borderId="24" xfId="0" applyNumberFormat="1" applyBorder="1" applyAlignment="1" applyProtection="1">
      <alignment horizontal="center" vertical="center"/>
      <protection hidden="1" locked="0"/>
    </xf>
    <xf numFmtId="182" fontId="0" fillId="0" borderId="13" xfId="0" applyNumberFormat="1" applyBorder="1" applyAlignment="1" applyProtection="1">
      <alignment horizontal="center" vertical="center"/>
      <protection hidden="1" locked="0"/>
    </xf>
    <xf numFmtId="0" fontId="0" fillId="0" borderId="22"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16" xfId="0" applyBorder="1" applyAlignment="1">
      <alignment horizontal="center" vertical="center" wrapText="1" shrinkToFit="1"/>
    </xf>
    <xf numFmtId="203" fontId="37" fillId="0" borderId="0" xfId="58" applyNumberFormat="1" applyFont="1" applyAlignment="1" applyProtection="1">
      <alignment horizontal="center" vertical="center"/>
      <protection hidden="1"/>
    </xf>
    <xf numFmtId="0" fontId="29" fillId="0" borderId="0" xfId="58" applyFont="1" applyAlignment="1" applyProtection="1">
      <alignment horizontal="center" vertical="center"/>
      <protection hidden="1"/>
    </xf>
    <xf numFmtId="201" fontId="39" fillId="0" borderId="0" xfId="58" applyNumberFormat="1" applyFont="1" applyBorder="1" applyAlignment="1" applyProtection="1">
      <alignment horizontal="left" vertical="center"/>
      <protection hidden="1"/>
    </xf>
    <xf numFmtId="0" fontId="40" fillId="0" borderId="22" xfId="58" applyFont="1" applyBorder="1" applyAlignment="1" applyProtection="1">
      <alignment horizontal="right" vertical="center"/>
      <protection hidden="1"/>
    </xf>
    <xf numFmtId="0" fontId="41" fillId="0" borderId="21" xfId="58" applyFont="1" applyBorder="1" applyAlignment="1" applyProtection="1">
      <alignment horizontal="right" vertical="center"/>
      <protection hidden="1"/>
    </xf>
    <xf numFmtId="0" fontId="42" fillId="0" borderId="0" xfId="58" applyFont="1" applyAlignment="1" applyProtection="1">
      <alignment horizontal="center" textRotation="90"/>
      <protection hidden="1"/>
    </xf>
    <xf numFmtId="0" fontId="0" fillId="0" borderId="0" xfId="58" applyBorder="1" applyAlignment="1" applyProtection="1">
      <alignment horizontal="center" vertical="center"/>
      <protection hidden="1"/>
    </xf>
    <xf numFmtId="0" fontId="32" fillId="0" borderId="0" xfId="58" applyFont="1" applyAlignment="1" applyProtection="1">
      <alignment horizontal="left" vertical="center"/>
      <protection hidden="1"/>
    </xf>
    <xf numFmtId="0" fontId="0" fillId="0" borderId="14" xfId="58" applyBorder="1" applyAlignment="1" applyProtection="1">
      <alignment horizontal="center" vertical="center"/>
      <protection hidden="1"/>
    </xf>
    <xf numFmtId="0" fontId="0" fillId="0" borderId="13" xfId="58" applyBorder="1" applyAlignment="1" applyProtection="1">
      <alignment horizontal="center" vertical="center"/>
      <protection hidden="1"/>
    </xf>
    <xf numFmtId="49" fontId="0" fillId="0" borderId="12" xfId="58" applyNumberFormat="1" applyFont="1" applyBorder="1" applyAlignment="1" applyProtection="1">
      <alignment horizontal="center" vertical="center"/>
      <protection hidden="1"/>
    </xf>
    <xf numFmtId="0" fontId="0" fillId="0" borderId="12" xfId="58" applyNumberFormat="1" applyFont="1" applyBorder="1" applyAlignment="1" applyProtection="1">
      <alignment horizontal="center" vertical="center"/>
      <protection hidden="1"/>
    </xf>
    <xf numFmtId="0" fontId="0" fillId="0" borderId="21" xfId="58" applyFont="1" applyBorder="1" applyAlignment="1" applyProtection="1">
      <alignment horizontal="left" vertical="center"/>
      <protection hidden="1"/>
    </xf>
    <xf numFmtId="0" fontId="0" fillId="0" borderId="0" xfId="58" applyAlignment="1" applyProtection="1">
      <alignment horizontal="left" vertical="center"/>
      <protection hidden="1"/>
    </xf>
    <xf numFmtId="0" fontId="0" fillId="0" borderId="24" xfId="58" applyFont="1" applyBorder="1" applyAlignment="1" applyProtection="1">
      <alignment horizontal="center" vertical="center" shrinkToFit="1"/>
      <protection hidden="1"/>
    </xf>
    <xf numFmtId="2" fontId="32" fillId="0" borderId="0" xfId="58" applyNumberFormat="1" applyFont="1" applyAlignment="1" applyProtection="1">
      <alignment horizontal="left" vertical="center" wrapText="1"/>
      <protection hidden="1"/>
    </xf>
    <xf numFmtId="0" fontId="32" fillId="0" borderId="0" xfId="58" applyFont="1" applyAlignment="1" applyProtection="1">
      <alignment horizontal="left" vertical="center" wrapText="1"/>
      <protection hidden="1"/>
    </xf>
    <xf numFmtId="49" fontId="0" fillId="0" borderId="12" xfId="58" applyNumberFormat="1" applyFont="1" applyBorder="1" applyAlignment="1" applyProtection="1">
      <alignment horizontal="center" vertical="top"/>
      <protection hidden="1"/>
    </xf>
    <xf numFmtId="0" fontId="0" fillId="0" borderId="12" xfId="58" applyNumberFormat="1" applyFont="1" applyBorder="1" applyAlignment="1" applyProtection="1">
      <alignment horizontal="center" vertical="top"/>
      <protection hidden="1"/>
    </xf>
    <xf numFmtId="49" fontId="32" fillId="0" borderId="0" xfId="58" applyNumberFormat="1" applyFont="1" applyAlignment="1" applyProtection="1">
      <alignment horizontal="left" vertical="top" wrapText="1"/>
      <protection hidden="1"/>
    </xf>
    <xf numFmtId="0" fontId="32" fillId="0" borderId="0" xfId="58" applyFont="1" applyAlignment="1" applyProtection="1">
      <alignment horizontal="left" vertical="top" wrapText="1"/>
      <protection hidden="1"/>
    </xf>
    <xf numFmtId="0" fontId="0" fillId="0" borderId="0" xfId="58" applyFont="1" applyBorder="1" applyAlignment="1" applyProtection="1">
      <alignment horizontal="center" vertical="center"/>
      <protection hidden="1"/>
    </xf>
    <xf numFmtId="0" fontId="20" fillId="0" borderId="21" xfId="58" applyFont="1" applyFill="1" applyBorder="1" applyAlignment="1" applyProtection="1">
      <alignment horizontal="left" vertical="center"/>
      <protection hidden="1"/>
    </xf>
    <xf numFmtId="0" fontId="20" fillId="0" borderId="21" xfId="58" applyFont="1" applyBorder="1" applyAlignment="1" applyProtection="1">
      <alignment horizontal="center" vertical="center"/>
      <protection hidden="1"/>
    </xf>
    <xf numFmtId="0" fontId="0" fillId="0" borderId="0" xfId="58" applyFill="1" applyBorder="1" applyAlignment="1" applyProtection="1">
      <alignment horizontal="left" vertical="center"/>
      <protection hidden="1"/>
    </xf>
    <xf numFmtId="0" fontId="0" fillId="0" borderId="17" xfId="58" applyFont="1" applyBorder="1" applyAlignment="1" applyProtection="1">
      <alignment horizontal="center" vertical="center"/>
      <protection hidden="1"/>
    </xf>
    <xf numFmtId="0" fontId="0" fillId="0" borderId="18" xfId="58" applyFont="1" applyBorder="1" applyAlignment="1" applyProtection="1">
      <alignment horizontal="center" vertical="center"/>
      <protection hidden="1"/>
    </xf>
    <xf numFmtId="0" fontId="0" fillId="0" borderId="17" xfId="58" applyBorder="1" applyAlignment="1" applyProtection="1">
      <alignment horizontal="center" vertical="center"/>
      <protection hidden="1"/>
    </xf>
    <xf numFmtId="0" fontId="0" fillId="0" borderId="0" xfId="58" applyBorder="1" applyAlignment="1" applyProtection="1">
      <alignment horizontal="left" vertical="center"/>
      <protection hidden="1"/>
    </xf>
    <xf numFmtId="2" fontId="0" fillId="0" borderId="0" xfId="58" applyNumberFormat="1" applyBorder="1" applyAlignment="1" applyProtection="1">
      <alignment horizontal="right" vertical="center" indent="1"/>
      <protection hidden="1" locked="0"/>
    </xf>
    <xf numFmtId="0" fontId="0" fillId="0" borderId="0" xfId="58" applyFont="1" applyAlignment="1" applyProtection="1">
      <alignment horizontal="center" vertical="center"/>
      <protection hidden="1"/>
    </xf>
    <xf numFmtId="0" fontId="23" fillId="0" borderId="0" xfId="58" applyFont="1" applyAlignment="1" applyProtection="1">
      <alignment horizontal="center" vertical="center" wrapText="1"/>
      <protection hidden="1"/>
    </xf>
    <xf numFmtId="0" fontId="23" fillId="0" borderId="18" xfId="58" applyFont="1" applyBorder="1" applyAlignment="1" applyProtection="1">
      <alignment horizontal="center" vertical="center" wrapText="1"/>
      <protection hidden="1"/>
    </xf>
    <xf numFmtId="0" fontId="0" fillId="0" borderId="0" xfId="58" applyFont="1" applyAlignment="1" applyProtection="1">
      <alignment horizontal="center" vertical="center" wrapText="1"/>
      <protection hidden="1"/>
    </xf>
    <xf numFmtId="0" fontId="0" fillId="0" borderId="18" xfId="58" applyFont="1" applyBorder="1" applyAlignment="1" applyProtection="1">
      <alignment horizontal="center" vertical="center" wrapText="1"/>
      <protection hidden="1"/>
    </xf>
    <xf numFmtId="0" fontId="0" fillId="0" borderId="18" xfId="58" applyBorder="1" applyAlignment="1" applyProtection="1">
      <alignment horizontal="left" vertical="center"/>
      <protection hidden="1"/>
    </xf>
    <xf numFmtId="0" fontId="23" fillId="0" borderId="0" xfId="58" applyFont="1" applyAlignment="1" applyProtection="1">
      <alignment horizontal="left" vertical="center" wrapText="1"/>
      <protection hidden="1"/>
    </xf>
    <xf numFmtId="0" fontId="23" fillId="0" borderId="18" xfId="58" applyFont="1" applyBorder="1" applyAlignment="1" applyProtection="1">
      <alignment horizontal="left" vertical="center" wrapText="1"/>
      <protection hidden="1"/>
    </xf>
    <xf numFmtId="0" fontId="0" fillId="0" borderId="12" xfId="58" applyBorder="1" applyAlignment="1" applyProtection="1">
      <alignment horizontal="center" vertical="center"/>
      <protection hidden="1" locked="0"/>
    </xf>
    <xf numFmtId="2" fontId="0" fillId="0" borderId="0" xfId="58" applyNumberFormat="1" applyAlignment="1" applyProtection="1">
      <alignment horizontal="right" vertical="center" indent="3"/>
      <protection hidden="1" locked="0"/>
    </xf>
    <xf numFmtId="2" fontId="0" fillId="0" borderId="0" xfId="58" applyNumberFormat="1" applyBorder="1" applyAlignment="1" applyProtection="1">
      <alignment horizontal="right" vertical="center" indent="3"/>
      <protection hidden="1" locked="0"/>
    </xf>
    <xf numFmtId="0" fontId="42" fillId="0" borderId="0" xfId="58" applyFont="1" applyAlignment="1" applyProtection="1">
      <alignment horizontal="center" vertical="top" textRotation="90"/>
      <protection hidden="1"/>
    </xf>
    <xf numFmtId="0" fontId="0" fillId="0" borderId="0" xfId="58" applyAlignment="1" applyProtection="1">
      <alignment horizontal="center" vertical="center" shrinkToFit="1"/>
      <protection hidden="1"/>
    </xf>
    <xf numFmtId="2" fontId="20" fillId="0" borderId="23" xfId="58" applyNumberFormat="1" applyFont="1" applyBorder="1" applyAlignment="1" applyProtection="1">
      <alignment horizontal="right" vertical="center" indent="3"/>
      <protection hidden="1"/>
    </xf>
    <xf numFmtId="2" fontId="0" fillId="0" borderId="0" xfId="58" applyNumberFormat="1" applyAlignment="1" applyProtection="1">
      <alignment horizontal="right" vertical="center" indent="3"/>
      <protection hidden="1"/>
    </xf>
    <xf numFmtId="2" fontId="0" fillId="0" borderId="0" xfId="58" applyNumberFormat="1" applyBorder="1" applyAlignment="1" applyProtection="1">
      <alignment horizontal="right" vertical="center" indent="3"/>
      <protection hidden="1"/>
    </xf>
    <xf numFmtId="0" fontId="0" fillId="0" borderId="0" xfId="58" applyAlignment="1" applyProtection="1">
      <alignment horizontal="left" vertical="center" wrapText="1" indent="2"/>
      <protection hidden="1"/>
    </xf>
    <xf numFmtId="0" fontId="45" fillId="0" borderId="0" xfId="58" applyFont="1" applyBorder="1" applyAlignment="1" applyProtection="1">
      <alignment horizontal="center" vertical="top" wrapText="1"/>
      <protection hidden="1"/>
    </xf>
    <xf numFmtId="0" fontId="20" fillId="0" borderId="17" xfId="58" applyFont="1" applyBorder="1" applyAlignment="1" applyProtection="1">
      <alignment horizontal="center" vertical="center"/>
      <protection hidden="1"/>
    </xf>
    <xf numFmtId="0" fontId="20" fillId="0" borderId="0" xfId="58" applyFont="1" applyBorder="1" applyAlignment="1" applyProtection="1">
      <alignment horizontal="center" vertical="center"/>
      <protection hidden="1"/>
    </xf>
    <xf numFmtId="0" fontId="46" fillId="0" borderId="21" xfId="58" applyFont="1" applyBorder="1" applyAlignment="1" applyProtection="1">
      <alignment horizontal="center" vertical="center"/>
      <protection hidden="1"/>
    </xf>
    <xf numFmtId="0" fontId="0" fillId="0" borderId="0" xfId="58" applyAlignment="1" applyProtection="1">
      <alignment horizontal="center" vertical="center"/>
      <protection hidden="1"/>
    </xf>
    <xf numFmtId="0" fontId="46" fillId="0" borderId="0" xfId="58" applyFont="1" applyAlignment="1" applyProtection="1">
      <alignment horizontal="center" vertical="center"/>
      <protection hidden="1"/>
    </xf>
    <xf numFmtId="0" fontId="47" fillId="0" borderId="0" xfId="58" applyFont="1" applyAlignment="1" applyProtection="1">
      <alignment horizontal="center"/>
      <protection hidden="1"/>
    </xf>
    <xf numFmtId="0" fontId="48" fillId="0" borderId="0" xfId="58" applyFont="1" applyAlignment="1" applyProtection="1">
      <alignment horizontal="right"/>
      <protection hidden="1"/>
    </xf>
    <xf numFmtId="0" fontId="49" fillId="0" borderId="0" xfId="59" applyFont="1" applyBorder="1" applyAlignment="1" applyProtection="1">
      <alignment horizontal="left" vertical="top" wrapText="1"/>
      <protection hidden="1"/>
    </xf>
    <xf numFmtId="0" fontId="49" fillId="0" borderId="15" xfId="59" applyFont="1" applyBorder="1" applyAlignment="1" applyProtection="1">
      <alignment horizontal="left" vertical="top" wrapText="1"/>
      <protection hidden="1"/>
    </xf>
    <xf numFmtId="0" fontId="31" fillId="0" borderId="0" xfId="59" applyFont="1" applyAlignment="1" applyProtection="1">
      <alignment horizontal="center" vertical="center"/>
      <protection hidden="1"/>
    </xf>
    <xf numFmtId="0" fontId="51" fillId="0" borderId="0" xfId="59" applyFont="1" applyAlignment="1" applyProtection="1">
      <alignment horizontal="center"/>
      <protection hidden="1"/>
    </xf>
    <xf numFmtId="0" fontId="0" fillId="0" borderId="14" xfId="59" applyFont="1" applyBorder="1" applyAlignment="1" applyProtection="1">
      <alignment horizontal="center" vertical="center"/>
      <protection hidden="1"/>
    </xf>
    <xf numFmtId="0" fontId="0" fillId="0" borderId="24" xfId="59" applyFont="1" applyBorder="1" applyAlignment="1" applyProtection="1">
      <alignment horizontal="center" vertical="center"/>
      <protection hidden="1"/>
    </xf>
    <xf numFmtId="0" fontId="0" fillId="0" borderId="13" xfId="59" applyFont="1" applyBorder="1" applyAlignment="1" applyProtection="1">
      <alignment horizontal="center" vertical="center"/>
      <protection hidden="1"/>
    </xf>
    <xf numFmtId="0" fontId="0" fillId="0" borderId="0" xfId="59" applyAlignment="1" applyProtection="1">
      <alignment horizontal="center"/>
      <protection hidden="1"/>
    </xf>
    <xf numFmtId="0" fontId="23" fillId="0" borderId="21" xfId="59" applyFont="1" applyBorder="1" applyAlignment="1" applyProtection="1">
      <alignment horizontal="center" vertical="top" shrinkToFit="1"/>
      <protection hidden="1"/>
    </xf>
    <xf numFmtId="0" fontId="52" fillId="0" borderId="15" xfId="59" applyFont="1" applyBorder="1" applyAlignment="1" applyProtection="1">
      <alignment horizontal="center" shrinkToFit="1"/>
      <protection hidden="1"/>
    </xf>
    <xf numFmtId="0" fontId="0" fillId="0" borderId="26" xfId="59" applyBorder="1" applyAlignment="1" applyProtection="1">
      <alignment horizontal="center" vertical="center"/>
      <protection hidden="1"/>
    </xf>
    <xf numFmtId="49" fontId="0" fillId="0" borderId="14" xfId="59" applyNumberFormat="1" applyBorder="1" applyAlignment="1" applyProtection="1">
      <alignment horizontal="center" vertical="center"/>
      <protection hidden="1"/>
    </xf>
    <xf numFmtId="0" fontId="0" fillId="0" borderId="24" xfId="59" applyNumberFormat="1" applyBorder="1" applyAlignment="1" applyProtection="1">
      <alignment horizontal="center" vertical="center"/>
      <protection hidden="1"/>
    </xf>
    <xf numFmtId="0" fontId="0" fillId="0" borderId="13" xfId="59" applyNumberFormat="1" applyBorder="1" applyAlignment="1" applyProtection="1">
      <alignment horizontal="center" vertical="center"/>
      <protection hidden="1"/>
    </xf>
    <xf numFmtId="0" fontId="0" fillId="0" borderId="14" xfId="59" applyBorder="1" applyAlignment="1" applyProtection="1">
      <alignment horizontal="center" vertical="center"/>
      <protection hidden="1"/>
    </xf>
    <xf numFmtId="0" fontId="0" fillId="0" borderId="24" xfId="59" applyBorder="1" applyAlignment="1" applyProtection="1">
      <alignment horizontal="center" vertical="center"/>
      <protection hidden="1"/>
    </xf>
    <xf numFmtId="0" fontId="0" fillId="0" borderId="13" xfId="59" applyBorder="1" applyAlignment="1" applyProtection="1">
      <alignment horizontal="center" vertical="center"/>
      <protection hidden="1"/>
    </xf>
    <xf numFmtId="0" fontId="54" fillId="0" borderId="0" xfId="59" applyFont="1" applyAlignment="1" applyProtection="1">
      <alignment horizontal="left" vertical="center" wrapText="1"/>
      <protection hidden="1"/>
    </xf>
    <xf numFmtId="0" fontId="32" fillId="0" borderId="0" xfId="59" applyFont="1" applyAlignment="1" applyProtection="1">
      <alignment horizontal="left" vertical="center" wrapText="1"/>
      <protection hidden="1"/>
    </xf>
    <xf numFmtId="0" fontId="40" fillId="0" borderId="0" xfId="59" applyFont="1" applyAlignment="1" applyProtection="1">
      <alignment horizontal="left" vertical="top" wrapText="1"/>
      <protection hidden="1"/>
    </xf>
    <xf numFmtId="0" fontId="55" fillId="0" borderId="15" xfId="59" applyFont="1" applyBorder="1" applyAlignment="1" applyProtection="1">
      <alignment horizontal="center" wrapText="1"/>
      <protection hidden="1"/>
    </xf>
    <xf numFmtId="0" fontId="0" fillId="0" borderId="0" xfId="59" applyFont="1" applyAlignment="1" applyProtection="1">
      <alignment horizontal="center" shrinkToFit="1"/>
      <protection hidden="1"/>
    </xf>
    <xf numFmtId="0" fontId="52" fillId="0" borderId="24" xfId="59" applyFont="1" applyBorder="1" applyAlignment="1" applyProtection="1">
      <alignment horizontal="center" wrapText="1" shrinkToFit="1"/>
      <protection hidden="1" locked="0"/>
    </xf>
    <xf numFmtId="49" fontId="52" fillId="0" borderId="15" xfId="59" applyNumberFormat="1" applyFont="1" applyBorder="1" applyAlignment="1" applyProtection="1">
      <alignment horizontal="center" wrapText="1"/>
      <protection hidden="1"/>
    </xf>
    <xf numFmtId="0" fontId="52" fillId="0" borderId="15" xfId="59" applyFont="1" applyBorder="1" applyAlignment="1" applyProtection="1">
      <alignment horizontal="center" wrapText="1"/>
      <protection hidden="1"/>
    </xf>
    <xf numFmtId="0" fontId="0" fillId="0" borderId="0" xfId="59" applyFont="1" applyBorder="1" applyAlignment="1" applyProtection="1">
      <alignment horizontal="center" vertical="center"/>
      <protection hidden="1"/>
    </xf>
    <xf numFmtId="0" fontId="0" fillId="0" borderId="0" xfId="59" applyBorder="1" applyAlignment="1" applyProtection="1">
      <alignment horizontal="center" vertical="center"/>
      <protection hidden="1"/>
    </xf>
    <xf numFmtId="0" fontId="0" fillId="0" borderId="0" xfId="59" applyFont="1" applyBorder="1" applyAlignment="1" applyProtection="1">
      <alignment horizontal="center" vertical="center" shrinkToFit="1"/>
      <protection hidden="1"/>
    </xf>
    <xf numFmtId="0" fontId="0" fillId="0" borderId="0" xfId="59" applyBorder="1" applyAlignment="1" applyProtection="1">
      <alignment horizontal="center" vertical="center" shrinkToFit="1"/>
      <protection hidden="1"/>
    </xf>
    <xf numFmtId="0" fontId="0" fillId="0" borderId="22" xfId="59" applyBorder="1" applyAlignment="1" applyProtection="1">
      <alignment horizontal="center" vertical="center"/>
      <protection hidden="1" locked="0"/>
    </xf>
    <xf numFmtId="0" fontId="0" fillId="0" borderId="16" xfId="59" applyBorder="1" applyAlignment="1" applyProtection="1">
      <alignment horizontal="center" vertical="center"/>
      <protection hidden="1" locked="0"/>
    </xf>
    <xf numFmtId="0" fontId="0" fillId="0" borderId="19" xfId="59" applyBorder="1" applyAlignment="1" applyProtection="1">
      <alignment horizontal="center" vertical="center"/>
      <protection hidden="1" locked="0"/>
    </xf>
    <xf numFmtId="0" fontId="0" fillId="0" borderId="20" xfId="59" applyBorder="1" applyAlignment="1" applyProtection="1">
      <alignment horizontal="center" vertical="center"/>
      <protection hidden="1" locked="0"/>
    </xf>
    <xf numFmtId="0" fontId="57" fillId="0" borderId="26" xfId="59" applyFont="1" applyBorder="1" applyAlignment="1" applyProtection="1">
      <alignment horizontal="left"/>
      <protection hidden="1"/>
    </xf>
    <xf numFmtId="0" fontId="59" fillId="0" borderId="27" xfId="59" applyFont="1" applyBorder="1" applyAlignment="1" applyProtection="1">
      <alignment horizontal="center"/>
      <protection hidden="1"/>
    </xf>
    <xf numFmtId="0" fontId="57" fillId="0" borderId="26" xfId="59" applyFont="1" applyBorder="1" applyAlignment="1" applyProtection="1">
      <alignment horizontal="center" shrinkToFit="1"/>
      <protection hidden="1"/>
    </xf>
    <xf numFmtId="2" fontId="40" fillId="0" borderId="15" xfId="59" applyNumberFormat="1" applyFont="1" applyBorder="1" applyAlignment="1" applyProtection="1">
      <alignment horizontal="center"/>
      <protection hidden="1"/>
    </xf>
    <xf numFmtId="0" fontId="0" fillId="0" borderId="0" xfId="59" applyFont="1" applyAlignment="1" applyProtection="1">
      <alignment horizontal="right"/>
      <protection hidden="1"/>
    </xf>
    <xf numFmtId="0" fontId="0" fillId="0" borderId="0" xfId="59" applyFont="1" applyAlignment="1" applyProtection="1">
      <alignment horizontal="center" vertical="center"/>
      <protection hidden="1"/>
    </xf>
    <xf numFmtId="0" fontId="0" fillId="0" borderId="0" xfId="59" applyAlignment="1" applyProtection="1">
      <alignment horizontal="center" vertical="center"/>
      <protection hidden="1"/>
    </xf>
    <xf numFmtId="0" fontId="0" fillId="0" borderId="28" xfId="59" applyBorder="1" applyAlignment="1" applyProtection="1">
      <alignment horizontal="center" vertical="center"/>
      <protection hidden="1"/>
    </xf>
    <xf numFmtId="0" fontId="0" fillId="0" borderId="29" xfId="59" applyBorder="1" applyAlignment="1" applyProtection="1">
      <alignment horizontal="center" vertical="center"/>
      <protection hidden="1"/>
    </xf>
    <xf numFmtId="0" fontId="0" fillId="0" borderId="28" xfId="59" applyBorder="1" applyAlignment="1" applyProtection="1">
      <alignment horizontal="center" vertical="center"/>
      <protection hidden="1" locked="0"/>
    </xf>
    <xf numFmtId="0" fontId="0" fillId="0" borderId="29" xfId="59" applyBorder="1" applyAlignment="1" applyProtection="1">
      <alignment horizontal="center" vertical="center"/>
      <protection hidden="1" locked="0"/>
    </xf>
    <xf numFmtId="0" fontId="55" fillId="0" borderId="15" xfId="59" applyFont="1" applyBorder="1" applyAlignment="1" applyProtection="1">
      <alignment horizontal="left" shrinkToFit="1"/>
      <protection hidden="1"/>
    </xf>
    <xf numFmtId="0" fontId="0" fillId="0" borderId="21" xfId="59" applyBorder="1" applyAlignment="1" applyProtection="1">
      <alignment horizontal="center" vertical="center"/>
      <protection hidden="1" locked="0"/>
    </xf>
    <xf numFmtId="0" fontId="0" fillId="0" borderId="15" xfId="59" applyBorder="1" applyAlignment="1" applyProtection="1">
      <alignment horizontal="center" vertical="center"/>
      <protection hidden="1"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53</xdr:row>
      <xdr:rowOff>85725</xdr:rowOff>
    </xdr:from>
    <xdr:to>
      <xdr:col>3</xdr:col>
      <xdr:colOff>0</xdr:colOff>
      <xdr:row>57</xdr:row>
      <xdr:rowOff>0</xdr:rowOff>
    </xdr:to>
    <xdr:sp>
      <xdr:nvSpPr>
        <xdr:cNvPr id="1" name="Oval 4"/>
        <xdr:cNvSpPr>
          <a:spLocks/>
        </xdr:cNvSpPr>
      </xdr:nvSpPr>
      <xdr:spPr>
        <a:xfrm>
          <a:off x="571500" y="9401175"/>
          <a:ext cx="781050"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54</xdr:row>
      <xdr:rowOff>161925</xdr:rowOff>
    </xdr:from>
    <xdr:to>
      <xdr:col>2</xdr:col>
      <xdr:colOff>657225</xdr:colOff>
      <xdr:row>56</xdr:row>
      <xdr:rowOff>104775</xdr:rowOff>
    </xdr:to>
    <xdr:sp>
      <xdr:nvSpPr>
        <xdr:cNvPr id="2" name="WordArt 5"/>
        <xdr:cNvSpPr>
          <a:spLocks/>
        </xdr:cNvSpPr>
      </xdr:nvSpPr>
      <xdr:spPr>
        <a:xfrm rot="160935">
          <a:off x="800100" y="9696450"/>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46</xdr:row>
      <xdr:rowOff>0</xdr:rowOff>
    </xdr:from>
    <xdr:to>
      <xdr:col>15</xdr:col>
      <xdr:colOff>1019175</xdr:colOff>
      <xdr:row>46</xdr:row>
      <xdr:rowOff>0</xdr:rowOff>
    </xdr:to>
    <xdr:sp>
      <xdr:nvSpPr>
        <xdr:cNvPr id="3" name="Line 8"/>
        <xdr:cNvSpPr>
          <a:spLocks/>
        </xdr:cNvSpPr>
      </xdr:nvSpPr>
      <xdr:spPr>
        <a:xfrm flipH="1">
          <a:off x="342900" y="8048625"/>
          <a:ext cx="6124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37</xdr:row>
      <xdr:rowOff>57150</xdr:rowOff>
    </xdr:from>
    <xdr:to>
      <xdr:col>1</xdr:col>
      <xdr:colOff>57150</xdr:colOff>
      <xdr:row>41</xdr:row>
      <xdr:rowOff>28575</xdr:rowOff>
    </xdr:to>
    <xdr:sp>
      <xdr:nvSpPr>
        <xdr:cNvPr id="1" name="Oval 1"/>
        <xdr:cNvSpPr>
          <a:spLocks/>
        </xdr:cNvSpPr>
      </xdr:nvSpPr>
      <xdr:spPr>
        <a:xfrm>
          <a:off x="171450" y="6886575"/>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DDO
</a:t>
          </a:r>
          <a:r>
            <a:rPr lang="en-US" cap="none" sz="1000" b="0" i="0" u="none" baseline="0">
              <a:solidFill>
                <a:srgbClr val="000000"/>
              </a:solidFill>
              <a:latin typeface="Arial"/>
              <a:ea typeface="Arial"/>
              <a:cs typeface="Arial"/>
            </a:rPr>
            <a:t>  Seal</a:t>
          </a:r>
        </a:p>
      </xdr:txBody>
    </xdr:sp>
    <xdr:clientData/>
  </xdr:twoCellAnchor>
  <xdr:twoCellAnchor>
    <xdr:from>
      <xdr:col>22</xdr:col>
      <xdr:colOff>19050</xdr:colOff>
      <xdr:row>37</xdr:row>
      <xdr:rowOff>28575</xdr:rowOff>
    </xdr:from>
    <xdr:to>
      <xdr:col>31</xdr:col>
      <xdr:colOff>66675</xdr:colOff>
      <xdr:row>40</xdr:row>
      <xdr:rowOff>152400</xdr:rowOff>
    </xdr:to>
    <xdr:sp>
      <xdr:nvSpPr>
        <xdr:cNvPr id="2" name="Oval 2"/>
        <xdr:cNvSpPr>
          <a:spLocks/>
        </xdr:cNvSpPr>
      </xdr:nvSpPr>
      <xdr:spPr>
        <a:xfrm>
          <a:off x="3971925" y="6858000"/>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Treasury 
</a:t>
          </a:r>
          <a:r>
            <a:rPr lang="en-US" cap="none" sz="1000" b="0" i="0" u="none" baseline="0">
              <a:solidFill>
                <a:srgbClr val="000000"/>
              </a:solidFill>
              <a:latin typeface="Arial"/>
              <a:ea typeface="Arial"/>
              <a:cs typeface="Arial"/>
            </a:rPr>
            <a:t>   Seal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53</xdr:row>
      <xdr:rowOff>85725</xdr:rowOff>
    </xdr:from>
    <xdr:to>
      <xdr:col>3</xdr:col>
      <xdr:colOff>0</xdr:colOff>
      <xdr:row>57</xdr:row>
      <xdr:rowOff>0</xdr:rowOff>
    </xdr:to>
    <xdr:sp>
      <xdr:nvSpPr>
        <xdr:cNvPr id="1" name="Oval 4"/>
        <xdr:cNvSpPr>
          <a:spLocks/>
        </xdr:cNvSpPr>
      </xdr:nvSpPr>
      <xdr:spPr>
        <a:xfrm>
          <a:off x="571500" y="9401175"/>
          <a:ext cx="781050"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54</xdr:row>
      <xdr:rowOff>161925</xdr:rowOff>
    </xdr:from>
    <xdr:to>
      <xdr:col>2</xdr:col>
      <xdr:colOff>657225</xdr:colOff>
      <xdr:row>56</xdr:row>
      <xdr:rowOff>104775</xdr:rowOff>
    </xdr:to>
    <xdr:sp>
      <xdr:nvSpPr>
        <xdr:cNvPr id="2" name="WordArt 5"/>
        <xdr:cNvSpPr>
          <a:spLocks/>
        </xdr:cNvSpPr>
      </xdr:nvSpPr>
      <xdr:spPr>
        <a:xfrm rot="160935">
          <a:off x="800100" y="9696450"/>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46</xdr:row>
      <xdr:rowOff>0</xdr:rowOff>
    </xdr:from>
    <xdr:to>
      <xdr:col>15</xdr:col>
      <xdr:colOff>1019175</xdr:colOff>
      <xdr:row>46</xdr:row>
      <xdr:rowOff>0</xdr:rowOff>
    </xdr:to>
    <xdr:sp>
      <xdr:nvSpPr>
        <xdr:cNvPr id="3" name="Line 8"/>
        <xdr:cNvSpPr>
          <a:spLocks/>
        </xdr:cNvSpPr>
      </xdr:nvSpPr>
      <xdr:spPr>
        <a:xfrm flipH="1">
          <a:off x="342900" y="8048625"/>
          <a:ext cx="6124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37</xdr:row>
      <xdr:rowOff>57150</xdr:rowOff>
    </xdr:from>
    <xdr:to>
      <xdr:col>1</xdr:col>
      <xdr:colOff>57150</xdr:colOff>
      <xdr:row>41</xdr:row>
      <xdr:rowOff>28575</xdr:rowOff>
    </xdr:to>
    <xdr:sp>
      <xdr:nvSpPr>
        <xdr:cNvPr id="1" name="Oval 1"/>
        <xdr:cNvSpPr>
          <a:spLocks/>
        </xdr:cNvSpPr>
      </xdr:nvSpPr>
      <xdr:spPr>
        <a:xfrm>
          <a:off x="171450" y="6886575"/>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DDO
</a:t>
          </a:r>
          <a:r>
            <a:rPr lang="en-US" cap="none" sz="1000" b="0" i="0" u="none" baseline="0">
              <a:solidFill>
                <a:srgbClr val="000000"/>
              </a:solidFill>
              <a:latin typeface="Arial"/>
              <a:ea typeface="Arial"/>
              <a:cs typeface="Arial"/>
            </a:rPr>
            <a:t>  Seal</a:t>
          </a:r>
        </a:p>
      </xdr:txBody>
    </xdr:sp>
    <xdr:clientData/>
  </xdr:twoCellAnchor>
  <xdr:twoCellAnchor>
    <xdr:from>
      <xdr:col>22</xdr:col>
      <xdr:colOff>19050</xdr:colOff>
      <xdr:row>37</xdr:row>
      <xdr:rowOff>28575</xdr:rowOff>
    </xdr:from>
    <xdr:to>
      <xdr:col>31</xdr:col>
      <xdr:colOff>66675</xdr:colOff>
      <xdr:row>40</xdr:row>
      <xdr:rowOff>152400</xdr:rowOff>
    </xdr:to>
    <xdr:sp>
      <xdr:nvSpPr>
        <xdr:cNvPr id="2" name="Oval 2"/>
        <xdr:cNvSpPr>
          <a:spLocks/>
        </xdr:cNvSpPr>
      </xdr:nvSpPr>
      <xdr:spPr>
        <a:xfrm>
          <a:off x="3971925" y="6858000"/>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Treasury 
</a:t>
          </a:r>
          <a:r>
            <a:rPr lang="en-US" cap="none" sz="1000" b="0" i="0" u="none" baseline="0">
              <a:solidFill>
                <a:srgbClr val="000000"/>
              </a:solidFill>
              <a:latin typeface="Arial"/>
              <a:ea typeface="Arial"/>
              <a:cs typeface="Arial"/>
            </a:rPr>
            <a:t>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ys\AppData\Local\Temp\Encashment%20of%20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C%202010%20excel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Folder\SRRZPHS%20Nuzvid\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heet1"/>
      <sheetName val="Proceedings"/>
      <sheetName val="bill"/>
      <sheetName val="47 cover page"/>
      <sheetName val="47 back page"/>
      <sheetName val="47 cover page (2)"/>
      <sheetName val="47 back page (2)"/>
      <sheetName val="Paper Token,101"/>
      <sheetName val="Paper Token,101 (2)"/>
    </sheetNames>
    <sheetDataSet>
      <sheetData sheetId="0">
        <row r="9">
          <cell r="C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Check list for step up"/>
      <sheetName val="Option Form 1"/>
      <sheetName val="Appendix I (Front page)"/>
      <sheetName val="Appendix I (Back Page)"/>
      <sheetName val="Proceedings"/>
      <sheetName val="Pay Scales"/>
      <sheetName val="Pay Bill Preparation"/>
      <sheetName val="Bill 2"/>
      <sheetName val="47 cover page"/>
      <sheetName val="47 back page"/>
      <sheetName val="annexure 1&amp;2"/>
      <sheetName val="form 49"/>
      <sheetName val="pf"/>
      <sheetName val="101"/>
      <sheetName val="OPTION FORM"/>
      <sheetName val="Pay Scales 1"/>
      <sheetName val="Appendix II"/>
      <sheetName val="Paper Token"/>
      <sheetName val="39"/>
    </sheetNames>
    <sheetDataSet>
      <sheetData sheetId="13">
        <row r="11">
          <cell r="F11">
            <v>2917</v>
          </cell>
        </row>
        <row r="32">
          <cell r="F3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8">
        <row r="9">
          <cell r="E9">
            <v>14530</v>
          </cell>
        </row>
        <row r="30">
          <cell r="E30">
            <v>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103"/>
  <sheetViews>
    <sheetView showGridLines="0" tabSelected="1" zoomScalePageLayoutView="0" workbookViewId="0" topLeftCell="A1">
      <selection activeCell="C11" sqref="C11:D11"/>
    </sheetView>
  </sheetViews>
  <sheetFormatPr defaultColWidth="9.140625" defaultRowHeight="12.75"/>
  <cols>
    <col min="1" max="1" width="4.7109375" style="0" customWidth="1"/>
    <col min="2" max="2" width="25.28125" style="0" customWidth="1"/>
    <col min="3" max="3" width="24.7109375" style="0" customWidth="1"/>
    <col min="4" max="4" width="29.00390625" style="0" customWidth="1"/>
    <col min="5" max="6" width="13.00390625" style="0" hidden="1" customWidth="1"/>
    <col min="7" max="7" width="11.421875" style="0" hidden="1" customWidth="1"/>
    <col min="8" max="8" width="18.00390625" style="0" hidden="1" customWidth="1"/>
    <col min="9" max="9" width="13.8515625" style="0" hidden="1" customWidth="1"/>
    <col min="10" max="23" width="9.140625" style="0" hidden="1" customWidth="1"/>
    <col min="24" max="35" width="9.140625" style="0" customWidth="1"/>
  </cols>
  <sheetData>
    <row r="1" spans="2:6" ht="41.25" customHeight="1">
      <c r="B1" s="232" t="s">
        <v>301</v>
      </c>
      <c r="C1" s="233"/>
      <c r="D1" s="233"/>
      <c r="E1" s="1"/>
      <c r="F1" s="1"/>
    </row>
    <row r="2" spans="2:7" ht="15.75" customHeight="1">
      <c r="B2" s="28" t="s">
        <v>13</v>
      </c>
      <c r="C2" s="227" t="s">
        <v>89</v>
      </c>
      <c r="D2" s="227"/>
      <c r="E2" s="1"/>
      <c r="F2" s="1" t="s">
        <v>59</v>
      </c>
      <c r="G2" s="14"/>
    </row>
    <row r="3" spans="2:7" ht="15.75" customHeight="1">
      <c r="B3" s="28" t="s">
        <v>14</v>
      </c>
      <c r="C3" s="227" t="s">
        <v>90</v>
      </c>
      <c r="D3" s="227"/>
      <c r="E3" s="1"/>
      <c r="F3" s="1" t="s">
        <v>61</v>
      </c>
      <c r="G3" s="1"/>
    </row>
    <row r="4" spans="2:7" s="12" customFormat="1" ht="15.75" customHeight="1">
      <c r="B4" s="28" t="s">
        <v>15</v>
      </c>
      <c r="C4" s="227">
        <v>527123</v>
      </c>
      <c r="D4" s="227"/>
      <c r="E4" s="11"/>
      <c r="F4" s="1" t="s">
        <v>63</v>
      </c>
      <c r="G4" s="11"/>
    </row>
    <row r="5" spans="2:7" ht="31.5" customHeight="1">
      <c r="B5" s="28" t="s">
        <v>72</v>
      </c>
      <c r="C5" s="225">
        <v>31152</v>
      </c>
      <c r="D5" s="225"/>
      <c r="F5" s="1" t="s">
        <v>62</v>
      </c>
      <c r="G5" s="10"/>
    </row>
    <row r="6" spans="2:8" ht="15.75" customHeight="1">
      <c r="B6" s="28" t="s">
        <v>76</v>
      </c>
      <c r="C6" s="225">
        <v>42735</v>
      </c>
      <c r="D6" s="225"/>
      <c r="F6" s="10">
        <v>41791</v>
      </c>
      <c r="G6" s="10"/>
      <c r="H6" t="str">
        <f>DAY(C6)&amp;"-"&amp;MONTH(C6)&amp;"-"&amp;YEAR(C6)</f>
        <v>31-12-2016</v>
      </c>
    </row>
    <row r="7" spans="2:4" ht="21" customHeight="1">
      <c r="B7" s="224" t="s">
        <v>46</v>
      </c>
      <c r="C7" s="224"/>
      <c r="D7" s="224"/>
    </row>
    <row r="8" spans="2:8" ht="15.75" customHeight="1">
      <c r="B8" s="28" t="s">
        <v>5</v>
      </c>
      <c r="C8" s="227">
        <v>59890</v>
      </c>
      <c r="D8" s="227"/>
      <c r="H8" t="str">
        <f>DAY(D14)&amp;"-"&amp;MONTH(D14)&amp;"-"&amp;YEAR(D14)</f>
        <v>1-6-2018</v>
      </c>
    </row>
    <row r="9" spans="2:4" ht="15.75" customHeight="1">
      <c r="B9" s="28" t="s">
        <v>12</v>
      </c>
      <c r="C9" s="227">
        <v>0</v>
      </c>
      <c r="D9" s="227"/>
    </row>
    <row r="10" spans="2:4" ht="15.75" customHeight="1">
      <c r="B10" s="28" t="s">
        <v>27</v>
      </c>
      <c r="C10" s="227">
        <v>18.34</v>
      </c>
      <c r="D10" s="227"/>
    </row>
    <row r="11" spans="2:14" ht="15.75" customHeight="1">
      <c r="B11" s="28" t="s">
        <v>28</v>
      </c>
      <c r="C11" s="227">
        <v>14.5</v>
      </c>
      <c r="D11" s="227"/>
      <c r="F11" s="234" t="s">
        <v>64</v>
      </c>
      <c r="G11" s="235"/>
      <c r="H11" s="235"/>
      <c r="I11" s="235"/>
      <c r="J11" s="235"/>
      <c r="K11" s="235"/>
      <c r="L11" s="235"/>
      <c r="M11" s="235"/>
      <c r="N11" s="236"/>
    </row>
    <row r="12" spans="2:14" ht="15.75" customHeight="1">
      <c r="B12" s="28" t="s">
        <v>290</v>
      </c>
      <c r="C12" s="230" t="s">
        <v>59</v>
      </c>
      <c r="D12" s="231"/>
      <c r="F12" s="237"/>
      <c r="G12" s="238"/>
      <c r="H12" s="238"/>
      <c r="I12" s="238"/>
      <c r="J12" s="238"/>
      <c r="K12" s="238"/>
      <c r="L12" s="238"/>
      <c r="M12" s="238"/>
      <c r="N12" s="239"/>
    </row>
    <row r="13" spans="2:14" ht="15.75" customHeight="1">
      <c r="B13" s="28" t="s">
        <v>57</v>
      </c>
      <c r="C13" s="230" t="s">
        <v>59</v>
      </c>
      <c r="D13" s="231"/>
      <c r="F13" s="240"/>
      <c r="G13" s="241"/>
      <c r="H13" s="241"/>
      <c r="I13" s="241"/>
      <c r="J13" s="241"/>
      <c r="K13" s="241"/>
      <c r="L13" s="241"/>
      <c r="M13" s="241"/>
      <c r="N13" s="242"/>
    </row>
    <row r="14" spans="2:14" ht="15.75" customHeight="1">
      <c r="B14" s="75" t="s">
        <v>87</v>
      </c>
      <c r="C14" s="219" t="s">
        <v>293</v>
      </c>
      <c r="D14" s="74">
        <v>43252</v>
      </c>
      <c r="F14" s="49" t="s">
        <v>18</v>
      </c>
      <c r="G14" s="49" t="s">
        <v>65</v>
      </c>
      <c r="H14" s="49" t="s">
        <v>66</v>
      </c>
      <c r="I14" s="49" t="s">
        <v>67</v>
      </c>
      <c r="J14" s="49" t="s">
        <v>68</v>
      </c>
      <c r="K14" s="49" t="s">
        <v>19</v>
      </c>
      <c r="L14" s="49" t="s">
        <v>69</v>
      </c>
      <c r="M14" s="49" t="s">
        <v>70</v>
      </c>
      <c r="N14" s="49" t="s">
        <v>71</v>
      </c>
    </row>
    <row r="15" spans="2:14" ht="19.5" customHeight="1">
      <c r="B15" s="228" t="s">
        <v>47</v>
      </c>
      <c r="C15" s="228"/>
      <c r="D15" s="228"/>
      <c r="F15" s="50">
        <v>1</v>
      </c>
      <c r="G15" s="50">
        <v>16400</v>
      </c>
      <c r="H15" s="51">
        <v>400</v>
      </c>
      <c r="I15" s="51">
        <v>250</v>
      </c>
      <c r="J15" s="51">
        <v>200</v>
      </c>
      <c r="K15" s="51">
        <f>C8</f>
        <v>59890</v>
      </c>
      <c r="L15" s="51">
        <f>LOOKUP(K15,F15:F18,H15:H18)</f>
        <v>1000</v>
      </c>
      <c r="M15" s="51">
        <f>LOOKUP(K15,F15:F18,I15:I18)</f>
        <v>700</v>
      </c>
      <c r="N15" s="51">
        <f>LOOKUP(K15,F15:F18,J15:J18)</f>
        <v>500</v>
      </c>
    </row>
    <row r="16" spans="2:14" ht="15.75" customHeight="1">
      <c r="B16" s="29" t="s">
        <v>48</v>
      </c>
      <c r="C16" s="227" t="s">
        <v>49</v>
      </c>
      <c r="D16" s="227"/>
      <c r="F16" s="50">
        <f>G15+1</f>
        <v>16401</v>
      </c>
      <c r="G16" s="50">
        <v>28940</v>
      </c>
      <c r="H16" s="51">
        <v>600</v>
      </c>
      <c r="I16" s="51">
        <v>350</v>
      </c>
      <c r="J16" s="51">
        <v>300</v>
      </c>
      <c r="K16" s="51"/>
      <c r="L16" s="51"/>
      <c r="M16" s="51"/>
      <c r="N16" s="51"/>
    </row>
    <row r="17" spans="2:14" ht="15.75" customHeight="1">
      <c r="B17" s="29" t="s">
        <v>50</v>
      </c>
      <c r="C17" s="227" t="s">
        <v>79</v>
      </c>
      <c r="D17" s="227"/>
      <c r="F17" s="50">
        <f>G16+1</f>
        <v>28941</v>
      </c>
      <c r="G17" s="50">
        <v>37100</v>
      </c>
      <c r="H17" s="51">
        <v>700</v>
      </c>
      <c r="I17" s="51">
        <v>450</v>
      </c>
      <c r="J17" s="51">
        <v>350</v>
      </c>
      <c r="K17" s="51"/>
      <c r="L17" s="51"/>
      <c r="M17" s="51"/>
      <c r="N17" s="51"/>
    </row>
    <row r="18" spans="2:14" ht="15.75" customHeight="1">
      <c r="B18" s="29" t="s">
        <v>56</v>
      </c>
      <c r="C18" s="227" t="s">
        <v>91</v>
      </c>
      <c r="D18" s="227"/>
      <c r="F18" s="50">
        <f>G17+1</f>
        <v>37101</v>
      </c>
      <c r="G18" s="50"/>
      <c r="H18" s="51">
        <v>1000</v>
      </c>
      <c r="I18" s="51">
        <v>700</v>
      </c>
      <c r="J18" s="51">
        <v>500</v>
      </c>
      <c r="K18" s="51"/>
      <c r="L18" s="51"/>
      <c r="M18" s="51"/>
      <c r="N18" s="51"/>
    </row>
    <row r="19" spans="2:14" ht="15.75" customHeight="1">
      <c r="B19" s="29" t="s">
        <v>85</v>
      </c>
      <c r="C19" s="230" t="s">
        <v>86</v>
      </c>
      <c r="D19" s="231"/>
      <c r="F19" s="72"/>
      <c r="G19" s="72"/>
      <c r="H19" s="73"/>
      <c r="I19" s="73"/>
      <c r="J19" s="73"/>
      <c r="K19" s="73"/>
      <c r="L19" s="73"/>
      <c r="M19" s="73"/>
      <c r="N19" s="73"/>
    </row>
    <row r="20" spans="2:10" ht="15.75" customHeight="1">
      <c r="B20" s="30" t="s">
        <v>51</v>
      </c>
      <c r="C20" s="227" t="s">
        <v>92</v>
      </c>
      <c r="D20" s="227"/>
      <c r="H20" t="s">
        <v>97</v>
      </c>
      <c r="J20" s="77" t="s">
        <v>98</v>
      </c>
    </row>
    <row r="21" spans="2:10" ht="31.5" customHeight="1">
      <c r="B21" s="31" t="s">
        <v>60</v>
      </c>
      <c r="C21" s="227" t="s">
        <v>93</v>
      </c>
      <c r="D21" s="227"/>
      <c r="H21" t="s">
        <v>99</v>
      </c>
      <c r="J21" s="27" t="s">
        <v>100</v>
      </c>
    </row>
    <row r="22" spans="2:10" ht="31.5" customHeight="1">
      <c r="B22" s="31" t="s">
        <v>107</v>
      </c>
      <c r="C22" s="230" t="s">
        <v>97</v>
      </c>
      <c r="D22" s="231"/>
      <c r="H22" t="s">
        <v>101</v>
      </c>
      <c r="J22" s="27" t="s">
        <v>102</v>
      </c>
    </row>
    <row r="23" spans="2:15" ht="15.75" customHeight="1">
      <c r="B23" s="30" t="s">
        <v>52</v>
      </c>
      <c r="C23" s="226" t="s">
        <v>94</v>
      </c>
      <c r="D23" s="226"/>
      <c r="F23" s="55">
        <v>0</v>
      </c>
      <c r="H23" s="1" t="s">
        <v>103</v>
      </c>
      <c r="I23" s="78" t="str">
        <f>LOOKUP(C22,H20:H22,J20:J22)</f>
        <v>003</v>
      </c>
      <c r="J23" s="27" t="s">
        <v>104</v>
      </c>
      <c r="L23" t="str">
        <f>H23&amp;I23&amp;J23</f>
        <v>2071-01-115-00-14-003-000-N-V-N</v>
      </c>
      <c r="O23">
        <v>13000</v>
      </c>
    </row>
    <row r="24" spans="2:15" ht="15.75" customHeight="1">
      <c r="B24" s="30" t="s">
        <v>16</v>
      </c>
      <c r="C24" s="229">
        <f ca="1">TODAY()</f>
        <v>43288</v>
      </c>
      <c r="D24" s="229"/>
      <c r="F24" s="55">
        <v>5.24</v>
      </c>
      <c r="H24" s="1" t="s">
        <v>105</v>
      </c>
      <c r="I24" t="str">
        <f>LOOKUP(C22,H20:H22,J20:J22)</f>
        <v>003</v>
      </c>
      <c r="J24" s="27" t="s">
        <v>104</v>
      </c>
      <c r="L24" t="str">
        <f>H24&amp;I24&amp;J24</f>
        <v>2071-01-115-00-24-003-000-N-V-N</v>
      </c>
      <c r="O24">
        <v>13390</v>
      </c>
    </row>
    <row r="25" spans="2:15" ht="15.75" customHeight="1">
      <c r="B25" s="30" t="s">
        <v>53</v>
      </c>
      <c r="C25" s="226" t="s">
        <v>95</v>
      </c>
      <c r="D25" s="226"/>
      <c r="F25" s="55">
        <v>8.908</v>
      </c>
      <c r="H25" s="1" t="s">
        <v>106</v>
      </c>
      <c r="I25" t="str">
        <f>LOOKUP(C22,H20:H22,J20:J22)</f>
        <v>003</v>
      </c>
      <c r="J25" s="27" t="s">
        <v>104</v>
      </c>
      <c r="L25" t="str">
        <f>H25&amp;I25&amp;J25</f>
        <v>2071-01-115-00-07-003-000-N-V-N</v>
      </c>
      <c r="O25">
        <v>13780</v>
      </c>
    </row>
    <row r="26" spans="2:15" ht="15.75" customHeight="1">
      <c r="B26" s="30" t="s">
        <v>54</v>
      </c>
      <c r="C26" s="226" t="s">
        <v>96</v>
      </c>
      <c r="D26" s="226"/>
      <c r="F26" s="55">
        <v>12.052</v>
      </c>
      <c r="O26" s="12">
        <v>14170</v>
      </c>
    </row>
    <row r="27" spans="2:15" ht="15.75" customHeight="1" hidden="1">
      <c r="B27" s="30" t="s">
        <v>55</v>
      </c>
      <c r="C27" s="226" t="s">
        <v>58</v>
      </c>
      <c r="D27" s="226"/>
      <c r="F27" s="55">
        <v>15.196</v>
      </c>
      <c r="H27" s="78" t="str">
        <f>MID(I23,1,1)</f>
        <v>0</v>
      </c>
      <c r="I27" s="78" t="str">
        <f>MID(I23,2,1)</f>
        <v>0</v>
      </c>
      <c r="J27" t="str">
        <f>MID(I23,3,1)</f>
        <v>3</v>
      </c>
      <c r="O27">
        <v>14600</v>
      </c>
    </row>
    <row r="28" spans="2:15" ht="22.5" customHeight="1">
      <c r="B28" s="228" t="s">
        <v>42</v>
      </c>
      <c r="C28" s="228"/>
      <c r="D28" s="228"/>
      <c r="F28" s="55">
        <v>18.34</v>
      </c>
      <c r="G28" s="10"/>
      <c r="O28">
        <v>15030</v>
      </c>
    </row>
    <row r="29" spans="2:15" ht="29.25" customHeight="1">
      <c r="B29" s="28" t="s">
        <v>34</v>
      </c>
      <c r="C29" s="28" t="s">
        <v>41</v>
      </c>
      <c r="D29" s="28" t="s">
        <v>40</v>
      </c>
      <c r="E29" s="12"/>
      <c r="F29" s="12">
        <v>22.008</v>
      </c>
      <c r="G29" s="10"/>
      <c r="H29" s="21" t="s">
        <v>44</v>
      </c>
      <c r="I29" s="21" t="s">
        <v>45</v>
      </c>
      <c r="O29">
        <v>15460</v>
      </c>
    </row>
    <row r="30" spans="2:15" ht="31.5" customHeight="1">
      <c r="B30" s="28" t="s">
        <v>299</v>
      </c>
      <c r="C30" s="230">
        <v>165</v>
      </c>
      <c r="D30" s="231"/>
      <c r="G30" s="10"/>
      <c r="H30" s="22">
        <v>0</v>
      </c>
      <c r="I30" s="22">
        <v>0</v>
      </c>
      <c r="O30">
        <v>15930</v>
      </c>
    </row>
    <row r="31" spans="2:15" ht="24.75" customHeight="1">
      <c r="B31" s="28" t="s">
        <v>43</v>
      </c>
      <c r="C31" s="61">
        <v>250</v>
      </c>
      <c r="D31" s="59">
        <f>IF(C31&gt;=(300-C30),300-C30,C31)</f>
        <v>135</v>
      </c>
      <c r="E31" s="23"/>
      <c r="G31" s="10"/>
      <c r="H31" s="22">
        <f>IF(D31&lt;30,0,IF(ROUND(D31/30,0)*30&gt;D31,ROUND(D31/30,0)-1,ROUND(D31/30,0)))</f>
        <v>4</v>
      </c>
      <c r="I31" s="22">
        <f>IF(D31&lt;30,D31,D31-(H31*30))</f>
        <v>15</v>
      </c>
      <c r="O31">
        <v>16400</v>
      </c>
    </row>
    <row r="32" ht="12.75">
      <c r="O32">
        <v>16870</v>
      </c>
    </row>
    <row r="33" ht="12.75">
      <c r="O33">
        <v>17380</v>
      </c>
    </row>
    <row r="34" ht="12.75">
      <c r="O34">
        <v>17890</v>
      </c>
    </row>
    <row r="35" ht="12.75">
      <c r="O35">
        <v>18400</v>
      </c>
    </row>
    <row r="36" ht="12.75">
      <c r="O36">
        <v>18950</v>
      </c>
    </row>
    <row r="37" spans="6:15" ht="12.75">
      <c r="F37">
        <v>4</v>
      </c>
      <c r="G37">
        <v>2</v>
      </c>
      <c r="H37">
        <v>3</v>
      </c>
      <c r="I37">
        <v>2</v>
      </c>
      <c r="J37">
        <v>2</v>
      </c>
      <c r="K37">
        <v>3</v>
      </c>
      <c r="O37">
        <v>19500</v>
      </c>
    </row>
    <row r="38" ht="12.75">
      <c r="O38">
        <v>20050</v>
      </c>
    </row>
    <row r="39" spans="6:15" ht="12.75">
      <c r="F39" t="str">
        <f>MID($C$27,1,F37)</f>
        <v>2202</v>
      </c>
      <c r="G39" t="str">
        <f>MID($C$27,5,G37)</f>
        <v>02</v>
      </c>
      <c r="H39" t="str">
        <f>MID($C$27,7,H37)</f>
        <v>191</v>
      </c>
      <c r="I39" t="str">
        <f>MID($C$27,10,I37)</f>
        <v>00</v>
      </c>
      <c r="J39" t="str">
        <f>MID($C$27,12,J37)</f>
        <v>05</v>
      </c>
      <c r="K39" t="str">
        <f>MID($C$27,14,K37)</f>
        <v>010</v>
      </c>
      <c r="O39">
        <v>20640</v>
      </c>
    </row>
    <row r="40" ht="12.75">
      <c r="O40">
        <v>21230</v>
      </c>
    </row>
    <row r="41" spans="6:15" ht="12.75">
      <c r="F41" t="str">
        <f>F39&amp;"-"&amp;G39&amp;"-"&amp;H39&amp;"-"&amp;I39&amp;"-"&amp;J39&amp;"-"&amp;K39</f>
        <v>2202-02-191-00-05-010</v>
      </c>
      <c r="O41">
        <v>21820</v>
      </c>
    </row>
    <row r="42" ht="12.75">
      <c r="O42">
        <v>22460</v>
      </c>
    </row>
    <row r="43" ht="12.75">
      <c r="O43">
        <v>23100</v>
      </c>
    </row>
    <row r="44" ht="12.75">
      <c r="O44">
        <v>23740</v>
      </c>
    </row>
    <row r="45" ht="12.75">
      <c r="O45">
        <v>24440</v>
      </c>
    </row>
    <row r="46" ht="12.75">
      <c r="O46">
        <v>25140</v>
      </c>
    </row>
    <row r="47" ht="12.75">
      <c r="O47">
        <v>25840</v>
      </c>
    </row>
    <row r="48" ht="12.75">
      <c r="O48">
        <v>26600</v>
      </c>
    </row>
    <row r="49" ht="12.75">
      <c r="O49">
        <v>27360</v>
      </c>
    </row>
    <row r="50" ht="12.75">
      <c r="O50">
        <v>28120</v>
      </c>
    </row>
    <row r="51" ht="12.75">
      <c r="O51">
        <v>28940</v>
      </c>
    </row>
    <row r="52" ht="12.75">
      <c r="O52">
        <v>29760</v>
      </c>
    </row>
    <row r="53" ht="12.75">
      <c r="O53">
        <v>30580</v>
      </c>
    </row>
    <row r="54" ht="12.75">
      <c r="O54">
        <v>31460</v>
      </c>
    </row>
    <row r="55" ht="12.75">
      <c r="O55">
        <v>32340</v>
      </c>
    </row>
    <row r="56" ht="12.75">
      <c r="O56">
        <v>33220</v>
      </c>
    </row>
    <row r="57" ht="12.75">
      <c r="O57">
        <v>34170</v>
      </c>
    </row>
    <row r="58" ht="12.75">
      <c r="O58">
        <v>35120</v>
      </c>
    </row>
    <row r="59" ht="12.75">
      <c r="O59">
        <v>36070</v>
      </c>
    </row>
    <row r="60" ht="12.75">
      <c r="O60">
        <v>37100</v>
      </c>
    </row>
    <row r="61" ht="12.75">
      <c r="O61">
        <v>38130</v>
      </c>
    </row>
    <row r="62" ht="12.75">
      <c r="O62">
        <v>39160</v>
      </c>
    </row>
    <row r="63" ht="12.75">
      <c r="O63">
        <v>40270</v>
      </c>
    </row>
    <row r="64" ht="12.75">
      <c r="O64">
        <v>41380</v>
      </c>
    </row>
    <row r="65" ht="12.75">
      <c r="O65">
        <v>42490</v>
      </c>
    </row>
    <row r="66" ht="12.75">
      <c r="O66">
        <v>43680</v>
      </c>
    </row>
    <row r="67" ht="12.75">
      <c r="O67">
        <v>44870</v>
      </c>
    </row>
    <row r="68" ht="12.75">
      <c r="O68">
        <v>46060</v>
      </c>
    </row>
    <row r="69" ht="12.75">
      <c r="O69">
        <v>47330</v>
      </c>
    </row>
    <row r="70" ht="12.75">
      <c r="O70">
        <v>48600</v>
      </c>
    </row>
    <row r="71" ht="12.75">
      <c r="O71">
        <v>49870</v>
      </c>
    </row>
    <row r="72" ht="12.75">
      <c r="O72">
        <v>51230</v>
      </c>
    </row>
    <row r="73" ht="12.75">
      <c r="O73">
        <v>52590</v>
      </c>
    </row>
    <row r="74" ht="12.75">
      <c r="O74">
        <v>53950</v>
      </c>
    </row>
    <row r="75" ht="12.75">
      <c r="O75">
        <v>55410</v>
      </c>
    </row>
    <row r="76" ht="12.75">
      <c r="O76">
        <v>56870</v>
      </c>
    </row>
    <row r="77" ht="12.75">
      <c r="O77">
        <v>58330</v>
      </c>
    </row>
    <row r="78" ht="12.75">
      <c r="O78">
        <v>59890</v>
      </c>
    </row>
    <row r="79" ht="12.75">
      <c r="O79">
        <v>61450</v>
      </c>
    </row>
    <row r="80" ht="12.75">
      <c r="O80">
        <v>63010</v>
      </c>
    </row>
    <row r="81" ht="12.75">
      <c r="O81">
        <v>64670</v>
      </c>
    </row>
    <row r="82" ht="12.75">
      <c r="O82">
        <v>66330</v>
      </c>
    </row>
    <row r="83" ht="12.75">
      <c r="O83">
        <v>67990</v>
      </c>
    </row>
    <row r="84" ht="12.75">
      <c r="O84">
        <v>69750</v>
      </c>
    </row>
    <row r="85" ht="12.75">
      <c r="O85">
        <v>71510</v>
      </c>
    </row>
    <row r="86" ht="12.75">
      <c r="O86">
        <v>73270</v>
      </c>
    </row>
    <row r="87" ht="12.75">
      <c r="O87">
        <v>75150</v>
      </c>
    </row>
    <row r="88" ht="12.75">
      <c r="O88">
        <v>77030</v>
      </c>
    </row>
    <row r="89" ht="12.75">
      <c r="O89">
        <v>78910</v>
      </c>
    </row>
    <row r="90" ht="12.75">
      <c r="O90">
        <v>80930</v>
      </c>
    </row>
    <row r="91" ht="12.75">
      <c r="O91">
        <v>82950</v>
      </c>
    </row>
    <row r="92" ht="12.75">
      <c r="O92">
        <v>84970</v>
      </c>
    </row>
    <row r="93" ht="12.75">
      <c r="O93">
        <v>87130</v>
      </c>
    </row>
    <row r="94" ht="12.75">
      <c r="O94">
        <v>89290</v>
      </c>
    </row>
    <row r="95" ht="12.75">
      <c r="O95">
        <v>91450</v>
      </c>
    </row>
    <row r="96" ht="12.75">
      <c r="O96">
        <v>93780</v>
      </c>
    </row>
    <row r="97" ht="12.75">
      <c r="O97">
        <v>96110</v>
      </c>
    </row>
    <row r="98" ht="12.75">
      <c r="O98">
        <v>98440</v>
      </c>
    </row>
    <row r="99" ht="12.75">
      <c r="O99">
        <v>100770</v>
      </c>
    </row>
    <row r="100" ht="12.75">
      <c r="O100">
        <v>103290</v>
      </c>
    </row>
    <row r="101" ht="12.75">
      <c r="O101">
        <v>105810</v>
      </c>
    </row>
    <row r="102" ht="12.75">
      <c r="O102">
        <v>108330</v>
      </c>
    </row>
    <row r="103" ht="12.75">
      <c r="O103">
        <v>110850</v>
      </c>
    </row>
  </sheetData>
  <sheetProtection password="CF9E" sheet="1" selectLockedCells="1"/>
  <mergeCells count="29">
    <mergeCell ref="C30:D30"/>
    <mergeCell ref="F11:N13"/>
    <mergeCell ref="C20:D20"/>
    <mergeCell ref="C21:D21"/>
    <mergeCell ref="C9:D9"/>
    <mergeCell ref="C10:D10"/>
    <mergeCell ref="C25:D25"/>
    <mergeCell ref="C19:D19"/>
    <mergeCell ref="C22:D22"/>
    <mergeCell ref="C12:D12"/>
    <mergeCell ref="C26:D26"/>
    <mergeCell ref="C24:D24"/>
    <mergeCell ref="C13:D13"/>
    <mergeCell ref="B1:D1"/>
    <mergeCell ref="B28:D28"/>
    <mergeCell ref="C2:D2"/>
    <mergeCell ref="C3:D3"/>
    <mergeCell ref="C4:D4"/>
    <mergeCell ref="C5:D5"/>
    <mergeCell ref="C27:D27"/>
    <mergeCell ref="B7:D7"/>
    <mergeCell ref="C6:D6"/>
    <mergeCell ref="C23:D23"/>
    <mergeCell ref="C8:D8"/>
    <mergeCell ref="C11:D11"/>
    <mergeCell ref="B15:D15"/>
    <mergeCell ref="C18:D18"/>
    <mergeCell ref="C16:D16"/>
    <mergeCell ref="C17:D17"/>
  </mergeCells>
  <dataValidations count="4">
    <dataValidation type="list" allowBlank="1" showInputMessage="1" showErrorMessage="1" sqref="C13:D13">
      <formula1>$F$2:$F$5</formula1>
    </dataValidation>
    <dataValidation type="list" allowBlank="1" showInputMessage="1" showErrorMessage="1" sqref="C22:D22">
      <formula1>$H$20:$H$22</formula1>
    </dataValidation>
    <dataValidation type="list" allowBlank="1" showInputMessage="1" showErrorMessage="1" sqref="C12:D12">
      <formula1>"Applicable,Not Applicable"</formula1>
    </dataValidation>
    <dataValidation type="list" allowBlank="1" showInputMessage="1" showErrorMessage="1" sqref="C11:D11">
      <formula1>"10,12,14.5,20,30"</formula1>
    </dataValidation>
  </dataValidation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A11" sqref="A11:I11"/>
    </sheetView>
  </sheetViews>
  <sheetFormatPr defaultColWidth="9.140625" defaultRowHeight="12.75"/>
  <cols>
    <col min="2" max="2" width="13.7109375" style="0" customWidth="1"/>
    <col min="4" max="4" width="11.421875" style="0" customWidth="1"/>
    <col min="5" max="5" width="12.140625" style="0" customWidth="1"/>
    <col min="7" max="7" width="10.140625" style="0" customWidth="1"/>
    <col min="9" max="9" width="10.7109375" style="0" customWidth="1"/>
  </cols>
  <sheetData>
    <row r="1" spans="1:9" ht="15.75">
      <c r="A1" s="274" t="str">
        <f>"PROCEEDINGS OF THE "&amp;data!C20&amp;", "&amp;data!C21</f>
        <v>PROCEEDINGS OF THE HEAD MASTER, SRRZPHS NUZVID</v>
      </c>
      <c r="B1" s="274"/>
      <c r="C1" s="274"/>
      <c r="D1" s="274"/>
      <c r="E1" s="274"/>
      <c r="F1" s="274"/>
      <c r="G1" s="274"/>
      <c r="H1" s="274"/>
      <c r="I1" s="274"/>
    </row>
    <row r="2" spans="1:9" ht="12.75">
      <c r="A2" s="243" t="str">
        <f>"Present : "&amp;data!C18</f>
        <v>Present : Sri M Vijay Kumar</v>
      </c>
      <c r="B2" s="243"/>
      <c r="C2" s="243"/>
      <c r="D2" s="243"/>
      <c r="E2" s="243"/>
      <c r="F2" s="243"/>
      <c r="G2" s="243"/>
      <c r="H2" s="243"/>
      <c r="I2" s="243"/>
    </row>
    <row r="3" spans="1:9" ht="12.75">
      <c r="A3" s="16" t="s">
        <v>29</v>
      </c>
      <c r="B3" s="254" t="str">
        <f>data!C14</f>
        <v>2/HM/2017</v>
      </c>
      <c r="C3" s="254"/>
      <c r="D3" s="254"/>
      <c r="H3" s="16" t="s">
        <v>30</v>
      </c>
      <c r="I3" s="76">
        <f>data!D14</f>
        <v>43252</v>
      </c>
    </row>
    <row r="4" ht="18.75" customHeight="1"/>
    <row r="5" spans="2:9" ht="57" customHeight="1">
      <c r="B5" s="17" t="s">
        <v>31</v>
      </c>
      <c r="C5" s="275" t="str">
        <f>"Establishment - "&amp;data!C19&amp;" - "&amp;data!C21&amp;" - "&amp;data!C2&amp;", "&amp;data!C3&amp;" - Permission for Encashment of Half Pay Leave  on retirement - Orders - issued."</f>
        <v>Establishment - Secondary Education - SRRZPHS NUZVID - Smt.K NIRMALA KUMARI, SCHOOL ASSISTANT (TELUGU) - Permission for Encashment of Half Pay Leave  on retirement - Orders - issued.</v>
      </c>
      <c r="D5" s="276"/>
      <c r="E5" s="276"/>
      <c r="F5" s="276"/>
      <c r="G5" s="276"/>
      <c r="H5" s="276"/>
      <c r="I5" s="276"/>
    </row>
    <row r="6" spans="2:3" ht="15.75" customHeight="1">
      <c r="B6" s="18" t="s">
        <v>32</v>
      </c>
      <c r="C6" t="s">
        <v>294</v>
      </c>
    </row>
    <row r="7" ht="15.75" customHeight="1">
      <c r="C7" s="1" t="s">
        <v>295</v>
      </c>
    </row>
    <row r="8" ht="15.75" customHeight="1">
      <c r="C8" s="54" t="s">
        <v>296</v>
      </c>
    </row>
    <row r="9" spans="3:9" ht="18.75" customHeight="1">
      <c r="C9" s="262" t="s">
        <v>297</v>
      </c>
      <c r="D9" s="262"/>
      <c r="E9" s="262"/>
      <c r="F9" s="262"/>
      <c r="G9" s="262"/>
      <c r="H9" s="262"/>
      <c r="I9" s="262"/>
    </row>
    <row r="10" spans="3:9" ht="18.75" customHeight="1">
      <c r="C10" s="262" t="s">
        <v>304</v>
      </c>
      <c r="D10" s="262"/>
      <c r="E10" s="262"/>
      <c r="F10" s="262"/>
      <c r="G10" s="262"/>
      <c r="H10" s="262"/>
      <c r="I10" s="262"/>
    </row>
    <row r="11" spans="1:9" ht="15" customHeight="1">
      <c r="A11" s="277" t="s">
        <v>33</v>
      </c>
      <c r="B11" s="277"/>
      <c r="C11" s="277"/>
      <c r="D11" s="277"/>
      <c r="E11" s="277"/>
      <c r="F11" s="277"/>
      <c r="G11" s="277"/>
      <c r="H11" s="277"/>
      <c r="I11" s="277"/>
    </row>
    <row r="12" spans="1:9" ht="12.75" hidden="1">
      <c r="A12" s="278"/>
      <c r="B12" s="278"/>
      <c r="C12" s="278"/>
      <c r="D12" s="278"/>
      <c r="E12" s="278"/>
      <c r="F12" s="278"/>
      <c r="G12" s="278"/>
      <c r="H12" s="278"/>
      <c r="I12" s="278"/>
    </row>
    <row r="13" spans="1:9" ht="16.5" customHeight="1" hidden="1">
      <c r="A13" s="278"/>
      <c r="B13" s="278"/>
      <c r="C13" s="278"/>
      <c r="D13" s="278"/>
      <c r="E13" s="278"/>
      <c r="F13" s="278"/>
      <c r="G13" s="278"/>
      <c r="H13" s="278"/>
      <c r="I13" s="278"/>
    </row>
    <row r="14" spans="1:9" ht="69" customHeight="1">
      <c r="A14" s="257" t="str">
        <f>"                     In obedience to G.Os 1st to 4th  cited above  "&amp;data!C2&amp;", "&amp;data!C3&amp;" , who retired from service on  "&amp;data!H6&amp;" is already encashed "&amp;data!C30&amp;" days of Earned Leave on retirement.Now vide the G.O cited in the ref.(5), the individual is elegible to permitted to encash "&amp;F18&amp;" days of Half Pay Leave  on retirement subject to the condition that the Earned Leave and Half Pay Leave should not exceed 300 days to encash on retirement."</f>
        <v>                     In obedience to G.Os 1st to 4th  cited above  Smt.K NIRMALA KUMARI, SCHOOL ASSISTANT (TELUGU) , who retired from service on  31-12-2016 is already encashed 165 days of Earned Leave on retirement.Now vide the G.O cited in the ref.(5), the individual is elegible to permitted to encash 135 days of Half Pay Leave  on retirement subject to the condition that the Earned Leave and Half Pay Leave should not exceed 300 days to encash on retirement.</v>
      </c>
      <c r="B14" s="258"/>
      <c r="C14" s="258"/>
      <c r="D14" s="258"/>
      <c r="E14" s="258"/>
      <c r="F14" s="258"/>
      <c r="G14" s="258"/>
      <c r="H14" s="258"/>
      <c r="I14" s="258"/>
    </row>
    <row r="15" spans="1:2" ht="21" customHeight="1">
      <c r="A15" s="19"/>
      <c r="B15" s="15" t="s">
        <v>298</v>
      </c>
    </row>
    <row r="16" spans="1:9" ht="44.25" customHeight="1">
      <c r="A16" s="266" t="s">
        <v>34</v>
      </c>
      <c r="B16" s="271"/>
      <c r="C16" s="267"/>
      <c r="D16" s="266" t="s">
        <v>39</v>
      </c>
      <c r="E16" s="267"/>
      <c r="F16" s="266" t="s">
        <v>40</v>
      </c>
      <c r="G16" s="267"/>
      <c r="H16" s="272" t="s">
        <v>80</v>
      </c>
      <c r="I16" s="273"/>
    </row>
    <row r="17" spans="1:9" s="15" customFormat="1" ht="17.25" customHeight="1">
      <c r="A17" s="259" t="s">
        <v>35</v>
      </c>
      <c r="B17" s="260"/>
      <c r="C17" s="261"/>
      <c r="D17" s="263" t="str">
        <f>"Already encashed "&amp;data!C30&amp;"days of EL"</f>
        <v>Already encashed 165days of EL</v>
      </c>
      <c r="E17" s="264"/>
      <c r="F17" s="264"/>
      <c r="G17" s="264"/>
      <c r="H17" s="264"/>
      <c r="I17" s="265"/>
    </row>
    <row r="18" spans="1:9" s="15" customFormat="1" ht="17.25" customHeight="1">
      <c r="A18" s="259" t="s">
        <v>77</v>
      </c>
      <c r="B18" s="260"/>
      <c r="C18" s="261"/>
      <c r="D18" s="263">
        <f>data!C31</f>
        <v>250</v>
      </c>
      <c r="E18" s="265"/>
      <c r="F18" s="263">
        <f>data!D31</f>
        <v>135</v>
      </c>
      <c r="G18" s="265"/>
      <c r="H18" s="263">
        <f>D18-F18</f>
        <v>115</v>
      </c>
      <c r="I18" s="265"/>
    </row>
    <row r="19" spans="1:9" s="15" customFormat="1" ht="60" customHeight="1">
      <c r="A19" s="247" t="str">
        <f>"            Sanction is hereby accorded for the drawal of Rs."&amp;D23&amp;"/- due to encashmet of Half Pay Leave on retirement. The expenditure is debitable to the Head of Accounts as follows vide the ref.4 cited above.The detailed calculation of bill is encloed to this proceedings."</f>
        <v>            Sanction is hereby accorded for the drawal of Rs.159467/- due to encashmet of Half Pay Leave on retirement. The expenditure is debitable to the Head of Accounts as follows vide the ref.4 cited above.The detailed calculation of bill is encloed to this proceedings.</v>
      </c>
      <c r="B19" s="247"/>
      <c r="C19" s="247"/>
      <c r="D19" s="247"/>
      <c r="E19" s="247"/>
      <c r="F19" s="247"/>
      <c r="G19" s="247"/>
      <c r="H19" s="247"/>
      <c r="I19" s="247"/>
    </row>
    <row r="20" spans="1:9" s="58" customFormat="1" ht="19.5" customHeight="1">
      <c r="A20" s="244" t="s">
        <v>108</v>
      </c>
      <c r="B20" s="245"/>
      <c r="C20" s="246"/>
      <c r="D20" s="244" t="s">
        <v>109</v>
      </c>
      <c r="E20" s="246"/>
      <c r="F20" s="244" t="s">
        <v>55</v>
      </c>
      <c r="G20" s="245"/>
      <c r="H20" s="245"/>
      <c r="I20" s="246"/>
    </row>
    <row r="21" spans="1:9" s="15" customFormat="1" ht="32.25" customHeight="1">
      <c r="A21" s="248" t="s">
        <v>110</v>
      </c>
      <c r="B21" s="249"/>
      <c r="C21" s="250"/>
      <c r="D21" s="251">
        <f>Bill!Q20</f>
        <v>146477</v>
      </c>
      <c r="E21" s="252"/>
      <c r="F21" s="268" t="str">
        <f>IF(data!C6&lt;data!F6,data!L25,data!L23)</f>
        <v>2071-01-115-00-14-003-000-N-V-N</v>
      </c>
      <c r="G21" s="269"/>
      <c r="H21" s="269"/>
      <c r="I21" s="270"/>
    </row>
    <row r="22" spans="1:9" s="15" customFormat="1" ht="26.25" customHeight="1">
      <c r="A22" s="248" t="str">
        <f>IF(data!C6&lt;data!F6," ","Amount allocable to successor state of Andhra Pradesh")</f>
        <v>Amount allocable to successor state of Andhra Pradesh</v>
      </c>
      <c r="B22" s="249"/>
      <c r="C22" s="250"/>
      <c r="D22" s="251">
        <f>IF(data!C6&lt;data!F6," ",Bill!Q21)</f>
        <v>12990</v>
      </c>
      <c r="E22" s="252"/>
      <c r="F22" s="268" t="str">
        <f>IF(data!C6&lt;data!F6," ",data!L24)</f>
        <v>2071-01-115-00-24-003-000-N-V-N</v>
      </c>
      <c r="G22" s="269"/>
      <c r="H22" s="269"/>
      <c r="I22" s="270"/>
    </row>
    <row r="23" spans="1:9" s="58" customFormat="1" ht="19.5" customHeight="1">
      <c r="A23" s="244" t="s">
        <v>75</v>
      </c>
      <c r="B23" s="245"/>
      <c r="C23" s="246"/>
      <c r="D23" s="255">
        <f>SUM(D21:D22)</f>
        <v>159467</v>
      </c>
      <c r="E23" s="256"/>
      <c r="F23" s="244"/>
      <c r="G23" s="245"/>
      <c r="H23" s="245"/>
      <c r="I23" s="246"/>
    </row>
    <row r="24" spans="1:9" ht="39.75" customHeight="1">
      <c r="A24" s="253" t="s">
        <v>81</v>
      </c>
      <c r="B24" s="253"/>
      <c r="C24" s="253"/>
      <c r="D24" s="253"/>
      <c r="E24" s="253"/>
      <c r="F24" s="253"/>
      <c r="G24" s="253"/>
      <c r="H24" s="253"/>
      <c r="I24" s="253"/>
    </row>
    <row r="26" ht="12.75">
      <c r="B26" s="1" t="s">
        <v>36</v>
      </c>
    </row>
    <row r="27" spans="6:9" ht="12.75">
      <c r="F27" s="243" t="str">
        <f>data!C20</f>
        <v>HEAD MASTER</v>
      </c>
      <c r="G27" s="243"/>
      <c r="H27" s="243"/>
      <c r="I27" s="243"/>
    </row>
    <row r="28" spans="6:9" ht="12.75">
      <c r="F28" s="243" t="str">
        <f>data!C21</f>
        <v>SRRZPHS NUZVID</v>
      </c>
      <c r="G28" s="243"/>
      <c r="H28" s="243"/>
      <c r="I28" s="243"/>
    </row>
    <row r="30" ht="12.75">
      <c r="A30" s="20" t="s">
        <v>37</v>
      </c>
    </row>
    <row r="31" ht="12.75">
      <c r="A31" s="20" t="s">
        <v>38</v>
      </c>
    </row>
    <row r="32" ht="12.75">
      <c r="A32" s="20" t="str">
        <f>"Copy to "&amp;data!C17</f>
        <v>Copy to STO, NUZVID</v>
      </c>
    </row>
    <row r="33" ht="12.75">
      <c r="A33" s="20" t="str">
        <f>"Copy Submitted to                                     "</f>
        <v>Copy Submitted to                                     </v>
      </c>
    </row>
  </sheetData>
  <sheetProtection password="DE4B" sheet="1" selectLockedCells="1"/>
  <mergeCells count="35">
    <mergeCell ref="A1:I1"/>
    <mergeCell ref="A2:I2"/>
    <mergeCell ref="C5:I5"/>
    <mergeCell ref="A11:I11"/>
    <mergeCell ref="A12:I13"/>
    <mergeCell ref="H18:I18"/>
    <mergeCell ref="D20:E20"/>
    <mergeCell ref="A18:C18"/>
    <mergeCell ref="D18:E18"/>
    <mergeCell ref="C10:I10"/>
    <mergeCell ref="F22:I22"/>
    <mergeCell ref="F21:I21"/>
    <mergeCell ref="A16:C16"/>
    <mergeCell ref="D16:E16"/>
    <mergeCell ref="H16:I16"/>
    <mergeCell ref="B3:D3"/>
    <mergeCell ref="D22:E22"/>
    <mergeCell ref="D23:E23"/>
    <mergeCell ref="A14:I14"/>
    <mergeCell ref="A17:C17"/>
    <mergeCell ref="C9:I9"/>
    <mergeCell ref="D17:I17"/>
    <mergeCell ref="A20:C20"/>
    <mergeCell ref="F18:G18"/>
    <mergeCell ref="F16:G16"/>
    <mergeCell ref="F28:I28"/>
    <mergeCell ref="A23:C23"/>
    <mergeCell ref="A19:I19"/>
    <mergeCell ref="F20:I20"/>
    <mergeCell ref="F23:I23"/>
    <mergeCell ref="F27:I27"/>
    <mergeCell ref="A21:C21"/>
    <mergeCell ref="D21:E21"/>
    <mergeCell ref="A22:C22"/>
    <mergeCell ref="A24:I24"/>
  </mergeCells>
  <printOptions/>
  <pageMargins left="0.65" right="0.5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58"/>
  <sheetViews>
    <sheetView zoomScalePageLayoutView="0" workbookViewId="0" topLeftCell="A1">
      <selection activeCell="Q21" sqref="Q21"/>
    </sheetView>
  </sheetViews>
  <sheetFormatPr defaultColWidth="9.140625" defaultRowHeight="12" customHeight="1"/>
  <cols>
    <col min="1" max="1" width="3.7109375" style="0" bestFit="1" customWidth="1"/>
    <col min="2" max="2" width="9.00390625" style="0" customWidth="1"/>
    <col min="3" max="3" width="3.00390625" style="7" customWidth="1"/>
    <col min="4" max="4" width="26.140625" style="7" customWidth="1"/>
    <col min="5" max="5" width="11.8515625" style="7" hidden="1" customWidth="1"/>
    <col min="6" max="6" width="8.28125" style="13" customWidth="1"/>
    <col min="7" max="7" width="6.140625" style="13" customWidth="1"/>
    <col min="8" max="8" width="7.00390625" style="13" customWidth="1"/>
    <col min="9" max="9" width="6.8515625" style="13" customWidth="1"/>
    <col min="10" max="10" width="5.7109375" style="13" bestFit="1" customWidth="1"/>
    <col min="11" max="12" width="6.421875" style="13" customWidth="1"/>
    <col min="13" max="13" width="9.140625" style="13" customWidth="1"/>
    <col min="14" max="14" width="10.421875" style="13" bestFit="1" customWidth="1"/>
    <col min="15" max="15" width="10.28125" style="13" customWidth="1"/>
    <col min="16" max="16" width="9.57421875" style="13" customWidth="1"/>
    <col min="17" max="17" width="9.421875" style="13" customWidth="1"/>
    <col min="19" max="20" width="10.140625" style="0" hidden="1" customWidth="1"/>
    <col min="21" max="35" width="9.140625" style="0" hidden="1" customWidth="1"/>
    <col min="36" max="41" width="9.140625" style="0" customWidth="1"/>
  </cols>
  <sheetData>
    <row r="1" spans="1:17" s="2" customFormat="1" ht="14.25" customHeight="1">
      <c r="A1" s="281" t="str">
        <f>"Sup Bill of "&amp;data!C2&amp;", "&amp;data!C3&amp;" who is retired on "&amp;data!H6&amp;" for the claim of Encashment of  Half Pay Leaves vide the Proceedings RC No: "&amp;data!C14&amp;" Dated "&amp;data!H8&amp;" of "&amp;data!C20&amp;", "&amp;data!C21</f>
        <v>Sup Bill of Smt.K NIRMALA KUMARI, SCHOOL ASSISTANT (TELUGU) who is retired on 31-12-2016 for the claim of Encashment of  Half Pay Leaves vide the Proceedings RC No: 2/HM/2017 Dated 1-6-2018 of HEAD MASTER, SRRZPHS NUZVID</v>
      </c>
      <c r="B1" s="282"/>
      <c r="C1" s="282"/>
      <c r="D1" s="282"/>
      <c r="E1" s="282"/>
      <c r="F1" s="282"/>
      <c r="G1" s="282"/>
      <c r="H1" s="282"/>
      <c r="I1" s="282"/>
      <c r="J1" s="282"/>
      <c r="K1" s="282"/>
      <c r="L1" s="282"/>
      <c r="M1" s="282"/>
      <c r="N1" s="282"/>
      <c r="O1" s="282"/>
      <c r="P1" s="282"/>
      <c r="Q1" s="282"/>
    </row>
    <row r="2" spans="1:17" s="2" customFormat="1" ht="30.75" customHeight="1">
      <c r="A2" s="283"/>
      <c r="B2" s="283"/>
      <c r="C2" s="283"/>
      <c r="D2" s="283"/>
      <c r="E2" s="283"/>
      <c r="F2" s="283"/>
      <c r="G2" s="283"/>
      <c r="H2" s="283"/>
      <c r="I2" s="283"/>
      <c r="J2" s="283"/>
      <c r="K2" s="283"/>
      <c r="L2" s="283"/>
      <c r="M2" s="283"/>
      <c r="N2" s="283"/>
      <c r="O2" s="283"/>
      <c r="P2" s="283"/>
      <c r="Q2" s="283"/>
    </row>
    <row r="3" spans="1:17" s="3" customFormat="1" ht="37.5" customHeight="1">
      <c r="A3" s="32" t="s">
        <v>2</v>
      </c>
      <c r="B3" s="32" t="s">
        <v>3</v>
      </c>
      <c r="C3" s="284" t="s">
        <v>0</v>
      </c>
      <c r="D3" s="284"/>
      <c r="E3" s="33" t="s">
        <v>4</v>
      </c>
      <c r="F3" s="32" t="s">
        <v>5</v>
      </c>
      <c r="G3" s="32" t="s">
        <v>12</v>
      </c>
      <c r="H3" s="32" t="s">
        <v>6</v>
      </c>
      <c r="I3" s="32" t="s">
        <v>7</v>
      </c>
      <c r="J3" s="32" t="s">
        <v>291</v>
      </c>
      <c r="K3" s="32" t="s">
        <v>8</v>
      </c>
      <c r="L3" s="32" t="s">
        <v>1</v>
      </c>
      <c r="M3" s="32" t="s">
        <v>22</v>
      </c>
      <c r="N3" s="32" t="s">
        <v>9</v>
      </c>
      <c r="O3" s="32" t="s">
        <v>10</v>
      </c>
      <c r="P3" s="32" t="s">
        <v>292</v>
      </c>
      <c r="Q3" s="32" t="s">
        <v>11</v>
      </c>
    </row>
    <row r="4" spans="1:17" s="5" customFormat="1" ht="27" customHeight="1">
      <c r="A4" s="34">
        <v>1</v>
      </c>
      <c r="B4" s="35">
        <f>data!C4</f>
        <v>527123</v>
      </c>
      <c r="C4" s="285" t="str">
        <f>data!C2&amp;", "&amp;data!C3</f>
        <v>Smt.K NIRMALA KUMARI, SCHOOL ASSISTANT (TELUGU)</v>
      </c>
      <c r="D4" s="285"/>
      <c r="E4" s="36">
        <f>data!C5</f>
        <v>31152</v>
      </c>
      <c r="F4" s="37"/>
      <c r="G4" s="37"/>
      <c r="H4" s="37"/>
      <c r="I4" s="37"/>
      <c r="J4" s="37"/>
      <c r="K4" s="37"/>
      <c r="L4" s="37"/>
      <c r="M4" s="37"/>
      <c r="N4" s="37"/>
      <c r="O4" s="37"/>
      <c r="P4" s="37"/>
      <c r="Q4" s="37"/>
    </row>
    <row r="5" spans="1:17" ht="23.25" customHeight="1">
      <c r="A5" s="34"/>
      <c r="B5" s="34"/>
      <c r="C5" s="38" t="str">
        <f>T52&amp;" @"&amp;T53&amp;", "&amp;U52&amp;" @"&amp;U53&amp;", "&amp;V52&amp;" @"&amp;V53&amp;", "&amp;W52&amp;" @"&amp;W53&amp;", "&amp;X52&amp;" @"&amp;X53&amp;", "&amp;Y52&amp;" @"&amp;Y53&amp;" @"&amp;Z52&amp;" @"&amp;Z53</f>
        <v>Pay @59890, PP @0, DA @10984, HRA @8684, AHRA @0, CCA @0 @Total @79558</v>
      </c>
      <c r="D5" s="39"/>
      <c r="E5" s="40"/>
      <c r="F5" s="37"/>
      <c r="G5" s="37"/>
      <c r="H5" s="37"/>
      <c r="I5" s="37"/>
      <c r="J5" s="37"/>
      <c r="K5" s="37"/>
      <c r="L5" s="37"/>
      <c r="M5" s="41"/>
      <c r="N5" s="37"/>
      <c r="O5" s="37"/>
      <c r="P5" s="37"/>
      <c r="Q5" s="37"/>
    </row>
    <row r="6" spans="1:17" ht="23.25" customHeight="1" hidden="1">
      <c r="A6" s="34"/>
      <c r="B6" s="34"/>
      <c r="C6" s="42" t="s">
        <v>25</v>
      </c>
      <c r="D6" s="40"/>
      <c r="E6" s="40"/>
      <c r="F6" s="37"/>
      <c r="G6" s="37"/>
      <c r="H6" s="37"/>
      <c r="I6" s="37"/>
      <c r="J6" s="37"/>
      <c r="K6" s="37"/>
      <c r="L6" s="37"/>
      <c r="M6" s="41"/>
      <c r="N6" s="37"/>
      <c r="O6" s="37"/>
      <c r="P6" s="37"/>
      <c r="Q6" s="37"/>
    </row>
    <row r="7" spans="1:17" ht="23.25" customHeight="1" hidden="1">
      <c r="A7" s="34"/>
      <c r="B7" s="34"/>
      <c r="C7" s="280" t="str">
        <f>data!D30&amp;" days of ELs at Balance (i.e "&amp;data!H30&amp;"months &amp; "&amp;data!I30&amp;"days) in his account"</f>
        <v> days of ELs at Balance (i.e 0months &amp; 0days) in his account</v>
      </c>
      <c r="D7" s="280"/>
      <c r="E7" s="40"/>
      <c r="F7" s="37"/>
      <c r="G7" s="37"/>
      <c r="H7" s="37"/>
      <c r="I7" s="37"/>
      <c r="J7" s="37"/>
      <c r="K7" s="37"/>
      <c r="L7" s="37"/>
      <c r="M7" s="37"/>
      <c r="N7" s="37"/>
      <c r="O7" s="37"/>
      <c r="P7" s="37"/>
      <c r="Q7" s="37"/>
    </row>
    <row r="8" spans="1:17" ht="21" customHeight="1" hidden="1">
      <c r="A8" s="34"/>
      <c r="B8" s="37" t="s">
        <v>23</v>
      </c>
      <c r="C8" s="65">
        <f>data!H30</f>
        <v>0</v>
      </c>
      <c r="D8" s="63" t="s">
        <v>24</v>
      </c>
      <c r="E8" s="40"/>
      <c r="F8" s="43">
        <f>T53*$C$8</f>
        <v>0</v>
      </c>
      <c r="G8" s="43">
        <f>U53*$C$8</f>
        <v>0</v>
      </c>
      <c r="H8" s="43">
        <f>V53*$C$8</f>
        <v>0</v>
      </c>
      <c r="I8" s="43">
        <f>W53*$C$8</f>
        <v>0</v>
      </c>
      <c r="J8" s="43">
        <f>X53*$C$8</f>
        <v>0</v>
      </c>
      <c r="K8" s="43">
        <f>Y53*C8</f>
        <v>0</v>
      </c>
      <c r="L8" s="43"/>
      <c r="M8" s="44">
        <f>SUM(F8:L8)</f>
        <v>0</v>
      </c>
      <c r="N8" s="43">
        <v>0</v>
      </c>
      <c r="O8" s="43">
        <f>M8-N8</f>
        <v>0</v>
      </c>
      <c r="P8" s="43"/>
      <c r="Q8" s="43">
        <f>O8-P8</f>
        <v>0</v>
      </c>
    </row>
    <row r="9" spans="1:17" ht="21" customHeight="1" hidden="1">
      <c r="A9" s="34"/>
      <c r="B9" s="37" t="s">
        <v>23</v>
      </c>
      <c r="C9" s="62">
        <f>data!I30</f>
        <v>0</v>
      </c>
      <c r="D9" s="64" t="s">
        <v>17</v>
      </c>
      <c r="E9" s="40"/>
      <c r="F9" s="43">
        <f>ROUND(T53*$C$9/30,0)</f>
        <v>0</v>
      </c>
      <c r="G9" s="43">
        <f>ROUND(U53*$C$9/30,0)</f>
        <v>0</v>
      </c>
      <c r="H9" s="43">
        <f>ROUND(V53*$C$9/30,0)</f>
        <v>0</v>
      </c>
      <c r="I9" s="43">
        <f>ROUND(W53*$C$9/30,0)</f>
        <v>0</v>
      </c>
      <c r="J9" s="43">
        <f>ROUND(X53*$C$9/30,0)</f>
        <v>0</v>
      </c>
      <c r="K9" s="43">
        <f>ROUND(Y53*C9/30,0)</f>
        <v>0</v>
      </c>
      <c r="L9" s="43"/>
      <c r="M9" s="44">
        <f>SUM(F9:L9)</f>
        <v>0</v>
      </c>
      <c r="N9" s="43">
        <v>0</v>
      </c>
      <c r="O9" s="43">
        <f>M9-N9</f>
        <v>0</v>
      </c>
      <c r="P9" s="43"/>
      <c r="Q9" s="43">
        <f>O9-P9</f>
        <v>0</v>
      </c>
    </row>
    <row r="10" spans="1:17" s="2" customFormat="1" ht="20.25" customHeight="1" hidden="1">
      <c r="A10" s="47"/>
      <c r="B10" s="47"/>
      <c r="C10" s="45" t="s">
        <v>22</v>
      </c>
      <c r="D10" s="41"/>
      <c r="E10" s="48"/>
      <c r="F10" s="41">
        <f aca="true" t="shared" si="0" ref="F10:Q10">SUM(F8:F9)</f>
        <v>0</v>
      </c>
      <c r="G10" s="41">
        <f t="shared" si="0"/>
        <v>0</v>
      </c>
      <c r="H10" s="41">
        <f t="shared" si="0"/>
        <v>0</v>
      </c>
      <c r="I10" s="41">
        <f t="shared" si="0"/>
        <v>0</v>
      </c>
      <c r="J10" s="41">
        <f>SUM(J8:J9)</f>
        <v>0</v>
      </c>
      <c r="K10" s="41">
        <f t="shared" si="0"/>
        <v>0</v>
      </c>
      <c r="L10" s="41">
        <f t="shared" si="0"/>
        <v>0</v>
      </c>
      <c r="M10" s="41">
        <f t="shared" si="0"/>
        <v>0</v>
      </c>
      <c r="N10" s="41">
        <f t="shared" si="0"/>
        <v>0</v>
      </c>
      <c r="O10" s="41">
        <f t="shared" si="0"/>
        <v>0</v>
      </c>
      <c r="P10" s="41">
        <f t="shared" si="0"/>
        <v>0</v>
      </c>
      <c r="Q10" s="41">
        <f t="shared" si="0"/>
        <v>0</v>
      </c>
    </row>
    <row r="11" spans="1:17" ht="23.25" customHeight="1">
      <c r="A11" s="34"/>
      <c r="B11" s="34"/>
      <c r="C11" s="42" t="s">
        <v>78</v>
      </c>
      <c r="D11" s="46"/>
      <c r="E11" s="40"/>
      <c r="F11" s="37"/>
      <c r="G11" s="37"/>
      <c r="H11" s="37"/>
      <c r="I11" s="37"/>
      <c r="J11" s="37"/>
      <c r="K11" s="37"/>
      <c r="L11" s="37"/>
      <c r="M11" s="41"/>
      <c r="N11" s="37"/>
      <c r="O11" s="37"/>
      <c r="P11" s="37"/>
      <c r="Q11" s="37"/>
    </row>
    <row r="12" spans="1:17" ht="23.25" customHeight="1">
      <c r="A12" s="34"/>
      <c r="B12" s="34"/>
      <c r="C12" s="292" t="str">
        <f>data!D31&amp;" days of HPLs at Balance (i.e "&amp;data!H31&amp;"months &amp; "&amp;data!I31&amp;"days) in his account"</f>
        <v>135 days of HPLs at Balance (i.e 4months &amp; 15days) in his account</v>
      </c>
      <c r="D12" s="292"/>
      <c r="E12" s="40"/>
      <c r="F12" s="37"/>
      <c r="G12" s="37"/>
      <c r="H12" s="37"/>
      <c r="I12" s="37"/>
      <c r="J12" s="37"/>
      <c r="K12" s="37"/>
      <c r="L12" s="37"/>
      <c r="M12" s="37"/>
      <c r="N12" s="37"/>
      <c r="O12" s="37"/>
      <c r="P12" s="37"/>
      <c r="Q12" s="37"/>
    </row>
    <row r="13" spans="1:17" ht="19.5" customHeight="1">
      <c r="A13" s="34"/>
      <c r="B13" s="37" t="s">
        <v>23</v>
      </c>
      <c r="C13" s="62">
        <f>data!H31</f>
        <v>4</v>
      </c>
      <c r="D13" s="63" t="s">
        <v>24</v>
      </c>
      <c r="E13" s="40"/>
      <c r="F13" s="43">
        <f>ROUND(T58*$C$13/2,0)</f>
        <v>119780</v>
      </c>
      <c r="G13" s="43">
        <f>ROUND(U58*$C$13/2,0)</f>
        <v>0</v>
      </c>
      <c r="H13" s="43">
        <f>ROUND(V58*$C$13/2,0)</f>
        <v>21968</v>
      </c>
      <c r="I13" s="43">
        <v>0</v>
      </c>
      <c r="J13" s="43">
        <v>0</v>
      </c>
      <c r="K13" s="43">
        <v>0</v>
      </c>
      <c r="L13" s="43"/>
      <c r="M13" s="44">
        <f>SUM(F13:L13)</f>
        <v>141748</v>
      </c>
      <c r="N13" s="43">
        <v>0</v>
      </c>
      <c r="O13" s="43">
        <f>M13-N13</f>
        <v>141748</v>
      </c>
      <c r="P13" s="43"/>
      <c r="Q13" s="43">
        <f>O13-P13</f>
        <v>141748</v>
      </c>
    </row>
    <row r="14" spans="1:17" ht="19.5" customHeight="1">
      <c r="A14" s="34"/>
      <c r="B14" s="37" t="s">
        <v>23</v>
      </c>
      <c r="C14" s="62">
        <f>data!I31</f>
        <v>15</v>
      </c>
      <c r="D14" s="64" t="s">
        <v>17</v>
      </c>
      <c r="E14" s="40"/>
      <c r="F14" s="43">
        <f>ROUND(T58*$C$14/30/2,0)</f>
        <v>14973</v>
      </c>
      <c r="G14" s="43">
        <f>ROUND(U58*$C$14/30/2,0)</f>
        <v>0</v>
      </c>
      <c r="H14" s="43">
        <f>ROUND(V58*$C$14/30/2,0)</f>
        <v>2746</v>
      </c>
      <c r="I14" s="43">
        <v>0</v>
      </c>
      <c r="J14" s="43">
        <v>0</v>
      </c>
      <c r="K14" s="43">
        <v>0</v>
      </c>
      <c r="L14" s="43"/>
      <c r="M14" s="44">
        <f>SUM(F14:L14)</f>
        <v>17719</v>
      </c>
      <c r="N14" s="43">
        <v>0</v>
      </c>
      <c r="O14" s="43">
        <f>M14-N14</f>
        <v>17719</v>
      </c>
      <c r="P14" s="43"/>
      <c r="Q14" s="43">
        <f>O14-P14</f>
        <v>17719</v>
      </c>
    </row>
    <row r="15" spans="1:17" ht="19.5" customHeight="1">
      <c r="A15" s="34"/>
      <c r="B15" s="34"/>
      <c r="C15" s="293" t="s">
        <v>22</v>
      </c>
      <c r="D15" s="294"/>
      <c r="E15" s="40"/>
      <c r="F15" s="41">
        <f aca="true" t="shared" si="1" ref="F15:Q15">SUM(F13:F14)</f>
        <v>134753</v>
      </c>
      <c r="G15" s="41">
        <f t="shared" si="1"/>
        <v>0</v>
      </c>
      <c r="H15" s="41">
        <f t="shared" si="1"/>
        <v>24714</v>
      </c>
      <c r="I15" s="41">
        <f t="shared" si="1"/>
        <v>0</v>
      </c>
      <c r="J15" s="41">
        <f t="shared" si="1"/>
        <v>0</v>
      </c>
      <c r="K15" s="41">
        <f t="shared" si="1"/>
        <v>0</v>
      </c>
      <c r="L15" s="41">
        <f t="shared" si="1"/>
        <v>0</v>
      </c>
      <c r="M15" s="41">
        <f t="shared" si="1"/>
        <v>159467</v>
      </c>
      <c r="N15" s="41">
        <f t="shared" si="1"/>
        <v>0</v>
      </c>
      <c r="O15" s="41">
        <f t="shared" si="1"/>
        <v>159467</v>
      </c>
      <c r="P15" s="41">
        <f t="shared" si="1"/>
        <v>0</v>
      </c>
      <c r="Q15" s="41">
        <f t="shared" si="1"/>
        <v>159467</v>
      </c>
    </row>
    <row r="16" spans="1:17" ht="19.5" customHeight="1" hidden="1">
      <c r="A16" s="34"/>
      <c r="B16" s="295" t="s">
        <v>88</v>
      </c>
      <c r="C16" s="296"/>
      <c r="D16" s="296"/>
      <c r="E16" s="296"/>
      <c r="F16" s="296"/>
      <c r="G16" s="296"/>
      <c r="H16" s="296"/>
      <c r="I16" s="296"/>
      <c r="J16" s="296"/>
      <c r="K16" s="296"/>
      <c r="L16" s="296"/>
      <c r="M16" s="296"/>
      <c r="N16" s="296"/>
      <c r="O16" s="296"/>
      <c r="P16" s="297"/>
      <c r="Q16" s="44">
        <f>Q10+Q15</f>
        <v>159467</v>
      </c>
    </row>
    <row r="17" spans="1:17" s="15" customFormat="1" ht="49.5" customHeight="1">
      <c r="A17" s="249" t="s">
        <v>111</v>
      </c>
      <c r="B17" s="286"/>
      <c r="C17" s="286"/>
      <c r="D17" s="286"/>
      <c r="E17" s="286"/>
      <c r="F17" s="286"/>
      <c r="G17" s="286"/>
      <c r="H17" s="286"/>
      <c r="I17" s="286"/>
      <c r="J17" s="286"/>
      <c r="K17" s="286"/>
      <c r="L17" s="286"/>
      <c r="M17" s="286"/>
      <c r="N17" s="286"/>
      <c r="O17" s="286"/>
      <c r="P17" s="286"/>
      <c r="Q17" s="286"/>
    </row>
    <row r="18" spans="1:17" s="57" customFormat="1" ht="31.5" customHeight="1">
      <c r="A18" s="79" t="s">
        <v>74</v>
      </c>
      <c r="B18" s="287" t="s">
        <v>73</v>
      </c>
      <c r="C18" s="288"/>
      <c r="D18" s="288"/>
      <c r="E18" s="56"/>
      <c r="F18" s="287" t="s">
        <v>18</v>
      </c>
      <c r="G18" s="287"/>
      <c r="H18" s="287" t="s">
        <v>65</v>
      </c>
      <c r="I18" s="287"/>
      <c r="J18" s="298" t="s">
        <v>82</v>
      </c>
      <c r="K18" s="299"/>
      <c r="L18" s="300"/>
      <c r="M18" s="304" t="s">
        <v>303</v>
      </c>
      <c r="N18" s="305"/>
      <c r="O18" s="306"/>
      <c r="P18" s="222" t="s">
        <v>300</v>
      </c>
      <c r="Q18" s="223" t="s">
        <v>112</v>
      </c>
    </row>
    <row r="19" spans="1:33" s="15" customFormat="1" ht="25.5" customHeight="1">
      <c r="A19" s="67"/>
      <c r="B19" s="259" t="s">
        <v>83</v>
      </c>
      <c r="C19" s="260"/>
      <c r="D19" s="261"/>
      <c r="E19" s="38"/>
      <c r="F19" s="289">
        <f>data!C5</f>
        <v>31152</v>
      </c>
      <c r="G19" s="289"/>
      <c r="H19" s="289">
        <f>data!C6</f>
        <v>42735</v>
      </c>
      <c r="I19" s="289"/>
      <c r="J19" s="301" t="str">
        <f>U19&amp;"Y-"&amp;V19&amp;"M-"&amp;W19&amp;"D"</f>
        <v>31Y-8M-17D</v>
      </c>
      <c r="K19" s="302"/>
      <c r="L19" s="303"/>
      <c r="M19" s="290" t="str">
        <f>U19&amp;" X12"&amp;"+"&amp;V19&amp;"+("&amp;W19&amp;"/30) = "</f>
        <v>31 X12+8+(17/30) = </v>
      </c>
      <c r="N19" s="291"/>
      <c r="O19" s="221">
        <f>U19*12+(V19)+(W19/30)</f>
        <v>380.56666666666666</v>
      </c>
      <c r="P19" s="220">
        <f>ROUND(U19+AF19+AG19,5)</f>
        <v>31.71389</v>
      </c>
      <c r="Q19" s="60">
        <f>Q16</f>
        <v>159467</v>
      </c>
      <c r="S19" s="68">
        <f>F19</f>
        <v>31152</v>
      </c>
      <c r="T19" s="68">
        <f>H19</f>
        <v>42735</v>
      </c>
      <c r="U19" s="69">
        <f>IF(AE19&lt;0,AA19-1-X19,AA19-X19)</f>
        <v>31</v>
      </c>
      <c r="V19" s="70">
        <f>IF(AE19&lt;0,12+AE19,AE19)</f>
        <v>8</v>
      </c>
      <c r="W19" s="70">
        <f>IF(AD19&lt;0,AC19+30-Z19+1,AC19-Z19+1)</f>
        <v>17</v>
      </c>
      <c r="X19" s="71">
        <f>YEAR(S19)*1</f>
        <v>1985</v>
      </c>
      <c r="Y19" s="71">
        <f>MONTH(S19)*1</f>
        <v>4</v>
      </c>
      <c r="Z19" s="71">
        <f>DAY(S19)*1</f>
        <v>15</v>
      </c>
      <c r="AA19" s="71">
        <f>YEAR(T19)*1</f>
        <v>2016</v>
      </c>
      <c r="AB19" s="71">
        <f>MONTH(T19)*1</f>
        <v>12</v>
      </c>
      <c r="AC19" s="71">
        <f>DAY(T19)*1</f>
        <v>31</v>
      </c>
      <c r="AD19" s="15">
        <f>AC19-Z19</f>
        <v>16</v>
      </c>
      <c r="AE19" s="69">
        <f>IF(AD19&lt;0,AB19-1-Y19,AB19-Y19)</f>
        <v>8</v>
      </c>
      <c r="AF19" s="15">
        <f>V19/12</f>
        <v>0.6666666666666666</v>
      </c>
      <c r="AG19" s="15">
        <f>W19/30/12</f>
        <v>0.04722222222222222</v>
      </c>
    </row>
    <row r="20" spans="1:33" s="15" customFormat="1" ht="25.5" customHeight="1">
      <c r="A20" s="67">
        <v>1</v>
      </c>
      <c r="B20" s="259" t="s">
        <v>84</v>
      </c>
      <c r="C20" s="260"/>
      <c r="D20" s="261"/>
      <c r="E20" s="38"/>
      <c r="F20" s="289">
        <f>F19</f>
        <v>31152</v>
      </c>
      <c r="G20" s="289"/>
      <c r="H20" s="289">
        <f>IF(data!C6&lt;data!F6,data!C6,data!F6)</f>
        <v>41791</v>
      </c>
      <c r="I20" s="289"/>
      <c r="J20" s="301" t="str">
        <f>U20&amp;"Y-"&amp;V20&amp;"M-"&amp;W20&amp;"D"</f>
        <v>29Y-1M-17D</v>
      </c>
      <c r="K20" s="302"/>
      <c r="L20" s="303"/>
      <c r="M20" s="290" t="str">
        <f>U20&amp;" X12"&amp;"+"&amp;V20&amp;"+("&amp;W20&amp;"/30) = "</f>
        <v>29 X12+1+(17/30) = </v>
      </c>
      <c r="N20" s="291"/>
      <c r="O20" s="221">
        <f>U20*12+(V20)+(W20/30)</f>
        <v>349.56666666666666</v>
      </c>
      <c r="P20" s="220">
        <f>ROUND(U20+AF20+AG20,5)</f>
        <v>29.13056</v>
      </c>
      <c r="Q20" s="60">
        <f>ROUND(Q19*(P20/P19),0)</f>
        <v>146477</v>
      </c>
      <c r="S20" s="68">
        <f>F20</f>
        <v>31152</v>
      </c>
      <c r="T20" s="68">
        <f>H20</f>
        <v>41791</v>
      </c>
      <c r="U20" s="69">
        <f>IF(AE20&lt;0,AA20-1-X20,AA20-X20)</f>
        <v>29</v>
      </c>
      <c r="V20" s="70">
        <f>IF(AE20&lt;0,12+AE20,AE20)</f>
        <v>1</v>
      </c>
      <c r="W20" s="70">
        <f>IF(AD20&lt;0,AC20+30-Z20+1,AC20-Z20+1)</f>
        <v>17</v>
      </c>
      <c r="X20" s="71">
        <f>YEAR(S20)*1</f>
        <v>1985</v>
      </c>
      <c r="Y20" s="71">
        <f>MONTH(S20)*1</f>
        <v>4</v>
      </c>
      <c r="Z20" s="71">
        <f>DAY(S20)*1</f>
        <v>15</v>
      </c>
      <c r="AA20" s="71">
        <f>YEAR(T20)*1</f>
        <v>2014</v>
      </c>
      <c r="AB20" s="71">
        <f>MONTH(T20)*1</f>
        <v>6</v>
      </c>
      <c r="AC20" s="71">
        <f>DAY(T20)*1</f>
        <v>1</v>
      </c>
      <c r="AD20" s="15">
        <f>AC20-Z20</f>
        <v>-14</v>
      </c>
      <c r="AE20" s="69">
        <f>IF(AD20&lt;0,AB20-1-Y20,AB20-Y20)</f>
        <v>1</v>
      </c>
      <c r="AF20" s="15">
        <f>V20/12</f>
        <v>0.08333333333333333</v>
      </c>
      <c r="AG20" s="15">
        <f>W20/30/12</f>
        <v>0.04722222222222222</v>
      </c>
    </row>
    <row r="21" spans="1:33" s="15" customFormat="1" ht="25.5" customHeight="1">
      <c r="A21" s="67">
        <f>IF('[1]data'!C9&lt;'[1]data'!F9," ",2)</f>
        <v>2</v>
      </c>
      <c r="B21" s="259" t="str">
        <f>IF(data!C9&lt;data!F9," ","Claim in the Successor State")</f>
        <v>Claim in the Successor State</v>
      </c>
      <c r="C21" s="260"/>
      <c r="D21" s="261"/>
      <c r="E21" s="38"/>
      <c r="F21" s="289">
        <f>IF(data!C6&lt;data!F6," ",data!F6+1)</f>
        <v>41792</v>
      </c>
      <c r="G21" s="289"/>
      <c r="H21" s="289">
        <f>IF(data!C6&lt;data!F6," ",H19)</f>
        <v>42735</v>
      </c>
      <c r="I21" s="289"/>
      <c r="J21" s="301" t="str">
        <f>IF(data!C6&lt;data!F6," ",U21&amp;"Y-"&amp;V21&amp;"M-"&amp;W21&amp;"D")</f>
        <v>2Y-6M-30D</v>
      </c>
      <c r="K21" s="302"/>
      <c r="L21" s="303"/>
      <c r="M21" s="290" t="str">
        <f>IF(data!C6&lt;data!F6," ",U21&amp;" X12"&amp;"+"&amp;V21&amp;"+("&amp;W21&amp;"/30) = ")</f>
        <v>2 X12+6+(30/30) = </v>
      </c>
      <c r="N21" s="291"/>
      <c r="O21" s="221">
        <f>IF(data!C6&lt;data!F6," ",U21*12+(V21)+(W21/30))</f>
        <v>31</v>
      </c>
      <c r="P21" s="220">
        <f>IF(data!C6&lt;data!F6,0,ROUND(U21+AF21+AG21,5))</f>
        <v>2.58333</v>
      </c>
      <c r="Q21" s="60">
        <f>IF(data!C9&lt;data!F9," ",ROUND(Q19*(P21/P19),0))</f>
        <v>12990</v>
      </c>
      <c r="S21" s="68">
        <f>F21</f>
        <v>41792</v>
      </c>
      <c r="T21" s="68">
        <f>H21</f>
        <v>42735</v>
      </c>
      <c r="U21" s="69">
        <f>IF(AE21&lt;0,AA21-1-X21,AA21-X21)</f>
        <v>2</v>
      </c>
      <c r="V21" s="70">
        <f>IF(AE21&lt;0,12+AE21,AE21)</f>
        <v>6</v>
      </c>
      <c r="W21" s="70">
        <f>IF(AD21&lt;0,AC21+30-Z21+1,AC21-Z21+1)</f>
        <v>30</v>
      </c>
      <c r="X21" s="71">
        <f>YEAR(S21)*1</f>
        <v>2014</v>
      </c>
      <c r="Y21" s="71">
        <f>MONTH(S21)*1</f>
        <v>6</v>
      </c>
      <c r="Z21" s="71">
        <f>DAY(S21)*1</f>
        <v>2</v>
      </c>
      <c r="AA21" s="71">
        <f>YEAR(T21)*1</f>
        <v>2016</v>
      </c>
      <c r="AB21" s="71">
        <f>MONTH(T21)*1</f>
        <v>12</v>
      </c>
      <c r="AC21" s="71">
        <f>DAY(T21)*1</f>
        <v>31</v>
      </c>
      <c r="AD21" s="15">
        <f>AC21-Z21</f>
        <v>29</v>
      </c>
      <c r="AE21" s="69">
        <f>IF(AD21&lt;0,AB21-1-Y21,AB21-Y21)</f>
        <v>6</v>
      </c>
      <c r="AF21" s="15">
        <f>V21/12</f>
        <v>0.5</v>
      </c>
      <c r="AG21" s="15">
        <f>W21/30/12</f>
        <v>0.08333333333333333</v>
      </c>
    </row>
    <row r="25" spans="14:17" ht="12" customHeight="1">
      <c r="N25" s="279" t="s">
        <v>26</v>
      </c>
      <c r="O25" s="279"/>
      <c r="P25" s="279"/>
      <c r="Q25" s="279"/>
    </row>
    <row r="49" ht="7.5" customHeight="1"/>
    <row r="51" ht="12" customHeight="1" hidden="1"/>
    <row r="52" spans="14:26" ht="12" customHeight="1" hidden="1">
      <c r="N52" s="13">
        <v>8100</v>
      </c>
      <c r="P52" s="26" t="s">
        <v>19</v>
      </c>
      <c r="Q52" s="22" t="s">
        <v>57</v>
      </c>
      <c r="T52" s="6" t="s">
        <v>19</v>
      </c>
      <c r="U52" s="4" t="s">
        <v>12</v>
      </c>
      <c r="V52" s="4" t="s">
        <v>20</v>
      </c>
      <c r="W52" s="52" t="s">
        <v>21</v>
      </c>
      <c r="X52" s="217" t="s">
        <v>290</v>
      </c>
      <c r="Y52" s="53" t="s">
        <v>57</v>
      </c>
      <c r="Z52" s="66" t="s">
        <v>22</v>
      </c>
    </row>
    <row r="53" spans="16:26" ht="12" customHeight="1" hidden="1">
      <c r="P53" s="24">
        <v>1</v>
      </c>
      <c r="Q53" s="25">
        <v>120</v>
      </c>
      <c r="T53" s="9">
        <f>data!C8</f>
        <v>59890</v>
      </c>
      <c r="U53" s="4">
        <f>data!C9</f>
        <v>0</v>
      </c>
      <c r="V53" s="4">
        <f>ROUND(T53*data!C10/100,0)</f>
        <v>10984</v>
      </c>
      <c r="W53" s="52">
        <f>IF(ROUND(T53*data!C11/100,0)&gt;S55,S55,ROUND(T53*data!C11/100,0))</f>
        <v>8684</v>
      </c>
      <c r="X53" s="217">
        <f>IF(data!C12="Applicable",IF(ROUND(T53*8%,0)&gt;S56,S56,ROUND(T53*8%,0)),0)</f>
        <v>0</v>
      </c>
      <c r="Y53" s="25">
        <f>IF(data!C13=data!F3,data!L15,IF(data!C13=data!F4,data!M15,IF(data!C13=data!F5,data!N15,0)))</f>
        <v>0</v>
      </c>
      <c r="Z53">
        <f>SUM(T53:Y53)</f>
        <v>79558</v>
      </c>
    </row>
    <row r="54" spans="14:25" ht="12" customHeight="1" hidden="1">
      <c r="N54" s="13">
        <f>LOOKUP(N52,P53:P57,Q53:Q56)</f>
        <v>120</v>
      </c>
      <c r="P54" s="24">
        <v>8200</v>
      </c>
      <c r="Q54" s="25">
        <v>160</v>
      </c>
      <c r="T54" s="9"/>
      <c r="U54" s="4"/>
      <c r="V54" s="4"/>
      <c r="W54" s="52"/>
      <c r="X54" s="217"/>
      <c r="Y54" s="25"/>
    </row>
    <row r="55" spans="16:25" ht="12" customHeight="1" hidden="1">
      <c r="P55" s="24">
        <v>13270</v>
      </c>
      <c r="Q55" s="25">
        <v>220</v>
      </c>
      <c r="S55">
        <f>IF(data!C11=30,20000,15000)</f>
        <v>15000</v>
      </c>
      <c r="T55" s="6"/>
      <c r="U55" s="4"/>
      <c r="V55" s="4"/>
      <c r="W55" s="52"/>
      <c r="X55" s="217"/>
      <c r="Y55" s="25"/>
    </row>
    <row r="56" spans="16:25" ht="12" customHeight="1" hidden="1">
      <c r="P56" s="24">
        <v>18630</v>
      </c>
      <c r="Q56" s="25">
        <v>350</v>
      </c>
      <c r="S56">
        <v>2000</v>
      </c>
      <c r="T56" s="9"/>
      <c r="U56" s="4"/>
      <c r="V56" s="4"/>
      <c r="W56" s="52"/>
      <c r="X56" s="217"/>
      <c r="Y56" s="25"/>
    </row>
    <row r="57" spans="16:25" ht="12" customHeight="1" hidden="1">
      <c r="P57" s="24"/>
      <c r="Q57" s="25"/>
      <c r="T57" s="9"/>
      <c r="U57" s="4"/>
      <c r="V57" s="4"/>
      <c r="W57" s="52"/>
      <c r="X57" s="217"/>
      <c r="Y57" s="25"/>
    </row>
    <row r="58" spans="16:25" ht="12" customHeight="1" hidden="1">
      <c r="P58" s="24"/>
      <c r="Q58" s="25"/>
      <c r="T58" s="6">
        <f>T53</f>
        <v>59890</v>
      </c>
      <c r="U58" s="4">
        <f>U53</f>
        <v>0</v>
      </c>
      <c r="V58" s="6">
        <f>V53</f>
        <v>10984</v>
      </c>
      <c r="W58" s="8">
        <f>W53</f>
        <v>8684</v>
      </c>
      <c r="X58" s="218"/>
      <c r="Y58" s="25"/>
    </row>
    <row r="59" ht="12" customHeight="1" hidden="1"/>
    <row r="60" ht="12" customHeight="1" hidden="1"/>
    <row r="61" ht="12" customHeight="1" hidden="1"/>
  </sheetData>
  <sheetProtection password="CF9E" sheet="1" selectLockedCells="1"/>
  <mergeCells count="29">
    <mergeCell ref="J21:L21"/>
    <mergeCell ref="M18:O18"/>
    <mergeCell ref="F20:G20"/>
    <mergeCell ref="F21:G21"/>
    <mergeCell ref="F18:G18"/>
    <mergeCell ref="H18:I18"/>
    <mergeCell ref="H19:I19"/>
    <mergeCell ref="H21:I21"/>
    <mergeCell ref="F19:G19"/>
    <mergeCell ref="C12:D12"/>
    <mergeCell ref="C15:D15"/>
    <mergeCell ref="B16:P16"/>
    <mergeCell ref="M19:N19"/>
    <mergeCell ref="M20:N20"/>
    <mergeCell ref="B20:D20"/>
    <mergeCell ref="J18:L18"/>
    <mergeCell ref="B19:D19"/>
    <mergeCell ref="J19:L19"/>
    <mergeCell ref="J20:L20"/>
    <mergeCell ref="B21:D21"/>
    <mergeCell ref="N25:Q25"/>
    <mergeCell ref="C7:D7"/>
    <mergeCell ref="A1:Q2"/>
    <mergeCell ref="C3:D3"/>
    <mergeCell ref="C4:D4"/>
    <mergeCell ref="A17:Q17"/>
    <mergeCell ref="B18:D18"/>
    <mergeCell ref="H20:I20"/>
    <mergeCell ref="M21:N21"/>
  </mergeCells>
  <printOptions/>
  <pageMargins left="0.5511811023622047" right="0.3937007874015748" top="0.7480314960629921" bottom="0.5511811023622047"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M334"/>
  <sheetViews>
    <sheetView showGridLines="0" zoomScaleSheetLayoutView="100" zoomScalePageLayoutView="0" workbookViewId="0" topLeftCell="A1">
      <selection activeCell="B39" sqref="B39"/>
    </sheetView>
  </sheetViews>
  <sheetFormatPr defaultColWidth="9.140625" defaultRowHeight="12.75"/>
  <cols>
    <col min="1" max="1" width="4.140625" style="80" customWidth="1"/>
    <col min="2" max="2" width="4.00390625" style="80" customWidth="1"/>
    <col min="3" max="3" width="12.140625" style="80" customWidth="1"/>
    <col min="4" max="7" width="3.00390625" style="80" customWidth="1"/>
    <col min="8" max="9" width="3.7109375" style="80" customWidth="1"/>
    <col min="10" max="10" width="8.140625" style="80" customWidth="1"/>
    <col min="11" max="11" width="2.8515625" style="80" customWidth="1"/>
    <col min="12" max="12" width="1.7109375" style="80" customWidth="1"/>
    <col min="13" max="13" width="3.8515625" style="88" customWidth="1"/>
    <col min="14" max="14" width="21.28125" style="80" customWidth="1"/>
    <col min="15" max="15" width="4.140625" style="80" customWidth="1"/>
    <col min="16" max="16" width="19.8515625" style="80" customWidth="1"/>
    <col min="17" max="17" width="1.57421875" style="80" customWidth="1"/>
    <col min="18" max="18" width="9.140625" style="80" hidden="1" customWidth="1"/>
    <col min="19" max="19" width="12.421875" style="80" hidden="1" customWidth="1"/>
    <col min="20" max="20" width="9.57421875" style="80" hidden="1" customWidth="1"/>
    <col min="21" max="37" width="9.140625" style="80" hidden="1" customWidth="1"/>
    <col min="38" max="39" width="0" style="80" hidden="1" customWidth="1"/>
    <col min="40" max="16384" width="9.140625" style="80" customWidth="1"/>
  </cols>
  <sheetData>
    <row r="1" spans="1:37" ht="14.25" customHeight="1">
      <c r="A1" s="307" t="str">
        <f>"Payble at  "&amp;data!C17</f>
        <v>Payble at  STO, NUZVID</v>
      </c>
      <c r="B1" s="307"/>
      <c r="C1" s="307"/>
      <c r="D1" s="307"/>
      <c r="E1" s="307"/>
      <c r="F1" s="307"/>
      <c r="G1" s="307"/>
      <c r="H1" s="307"/>
      <c r="I1" s="307"/>
      <c r="J1" s="307"/>
      <c r="K1" s="307"/>
      <c r="L1" s="307"/>
      <c r="M1" s="307"/>
      <c r="N1" s="307"/>
      <c r="O1" s="307"/>
      <c r="P1" s="307"/>
      <c r="Q1" s="307"/>
      <c r="AK1" s="80" t="s">
        <v>113</v>
      </c>
    </row>
    <row r="2" spans="1:17" ht="13.5" customHeight="1">
      <c r="A2" s="308" t="s">
        <v>114</v>
      </c>
      <c r="B2" s="308"/>
      <c r="C2" s="308"/>
      <c r="D2" s="308"/>
      <c r="E2" s="308"/>
      <c r="F2" s="308"/>
      <c r="G2" s="308"/>
      <c r="H2" s="308"/>
      <c r="I2" s="308"/>
      <c r="J2" s="308"/>
      <c r="K2" s="308"/>
      <c r="L2" s="308"/>
      <c r="M2" s="308"/>
      <c r="N2" s="308"/>
      <c r="O2" s="308"/>
      <c r="P2" s="308"/>
      <c r="Q2" s="308"/>
    </row>
    <row r="3" spans="1:17" ht="15.75">
      <c r="A3" s="308" t="s">
        <v>115</v>
      </c>
      <c r="B3" s="308"/>
      <c r="C3" s="308"/>
      <c r="D3" s="308"/>
      <c r="E3" s="308"/>
      <c r="F3" s="308"/>
      <c r="G3" s="308"/>
      <c r="H3" s="308"/>
      <c r="I3" s="308"/>
      <c r="J3" s="308"/>
      <c r="K3" s="308"/>
      <c r="L3" s="308"/>
      <c r="M3" s="308"/>
      <c r="N3" s="308"/>
      <c r="O3" s="308"/>
      <c r="P3" s="308"/>
      <c r="Q3" s="308"/>
    </row>
    <row r="4" spans="3:17" ht="7.5" customHeight="1">
      <c r="C4" s="82"/>
      <c r="D4" s="82"/>
      <c r="E4" s="82"/>
      <c r="F4" s="82"/>
      <c r="G4" s="82"/>
      <c r="H4" s="82"/>
      <c r="I4" s="82"/>
      <c r="J4" s="82"/>
      <c r="K4" s="82"/>
      <c r="L4" s="82"/>
      <c r="M4" s="82"/>
      <c r="N4" s="82"/>
      <c r="O4" s="83"/>
      <c r="P4" s="83"/>
      <c r="Q4" s="83"/>
    </row>
    <row r="5" spans="2:17" ht="17.25" customHeight="1">
      <c r="B5" s="80" t="s">
        <v>116</v>
      </c>
      <c r="F5" s="84"/>
      <c r="G5" s="309">
        <f>data!C24</f>
        <v>43288</v>
      </c>
      <c r="H5" s="309"/>
      <c r="I5" s="309"/>
      <c r="J5" s="309"/>
      <c r="K5" s="309"/>
      <c r="L5" s="85"/>
      <c r="M5" s="81"/>
      <c r="N5" s="310" t="s">
        <v>117</v>
      </c>
      <c r="O5" s="311"/>
      <c r="P5" s="311"/>
      <c r="Q5" s="86"/>
    </row>
    <row r="6" spans="1:17" ht="15" customHeight="1">
      <c r="A6" s="312" t="str">
        <f>$X$131</f>
        <v>One lakh Forty Six thousand Four hundred Seventy Eight only</v>
      </c>
      <c r="K6" s="87"/>
      <c r="L6" s="87"/>
      <c r="N6" s="89" t="s">
        <v>118</v>
      </c>
      <c r="O6" s="313"/>
      <c r="P6" s="313"/>
      <c r="Q6" s="91"/>
    </row>
    <row r="7" spans="1:17" ht="15" customHeight="1">
      <c r="A7" s="312"/>
      <c r="B7" s="314" t="s">
        <v>119</v>
      </c>
      <c r="C7" s="314"/>
      <c r="D7" s="314"/>
      <c r="E7" s="92" t="str">
        <f>R13</f>
        <v>0</v>
      </c>
      <c r="F7" s="92" t="str">
        <f>S13</f>
        <v>5</v>
      </c>
      <c r="G7" s="92" t="str">
        <f>T13</f>
        <v>1</v>
      </c>
      <c r="H7" s="93" t="str">
        <f>U13</f>
        <v>2</v>
      </c>
      <c r="I7" s="90"/>
      <c r="J7" s="90"/>
      <c r="K7" s="90"/>
      <c r="L7" s="90"/>
      <c r="N7" s="89" t="s">
        <v>120</v>
      </c>
      <c r="O7" s="315"/>
      <c r="P7" s="316"/>
      <c r="Q7" s="91"/>
    </row>
    <row r="8" spans="1:17" ht="3.75" customHeight="1">
      <c r="A8" s="312"/>
      <c r="B8" s="94"/>
      <c r="C8" s="94"/>
      <c r="D8" s="95"/>
      <c r="E8" s="96"/>
      <c r="F8" s="96"/>
      <c r="G8" s="96"/>
      <c r="H8" s="96"/>
      <c r="I8" s="96"/>
      <c r="J8" s="96"/>
      <c r="K8" s="96"/>
      <c r="L8" s="96"/>
      <c r="N8" s="97"/>
      <c r="O8" s="98"/>
      <c r="P8" s="98"/>
      <c r="Q8" s="99"/>
    </row>
    <row r="9" spans="1:16" ht="17.25" customHeight="1">
      <c r="A9" s="312"/>
      <c r="B9" s="80" t="s">
        <v>121</v>
      </c>
      <c r="D9" s="317" t="str">
        <f>data!$C$23</f>
        <v>05120308013</v>
      </c>
      <c r="E9" s="318"/>
      <c r="F9" s="318"/>
      <c r="G9" s="318"/>
      <c r="H9" s="318"/>
      <c r="I9" s="318"/>
      <c r="J9" s="318"/>
      <c r="K9" s="318"/>
      <c r="L9" s="96"/>
      <c r="N9" s="94" t="s">
        <v>122</v>
      </c>
      <c r="O9" s="319" t="str">
        <f>data!C16</f>
        <v>Krishna</v>
      </c>
      <c r="P9" s="319"/>
    </row>
    <row r="10" spans="1:16" ht="32.25" customHeight="1">
      <c r="A10" s="312"/>
      <c r="B10" s="320" t="s">
        <v>123</v>
      </c>
      <c r="C10" s="320"/>
      <c r="D10" s="321" t="str">
        <f>data!C20</f>
        <v>HEAD MASTER</v>
      </c>
      <c r="E10" s="321"/>
      <c r="F10" s="321"/>
      <c r="G10" s="321"/>
      <c r="H10" s="321"/>
      <c r="I10" s="321"/>
      <c r="J10" s="321"/>
      <c r="K10" s="321"/>
      <c r="L10" s="96"/>
      <c r="N10" s="80" t="s">
        <v>124</v>
      </c>
      <c r="O10" s="322" t="str">
        <f>data!C21</f>
        <v>SRRZPHS NUZVID</v>
      </c>
      <c r="P10" s="323"/>
    </row>
    <row r="11" spans="1:19" s="100" customFormat="1" ht="26.25" customHeight="1">
      <c r="A11" s="312"/>
      <c r="B11" s="100" t="s">
        <v>125</v>
      </c>
      <c r="D11" s="324" t="str">
        <f>data!C25</f>
        <v>0889</v>
      </c>
      <c r="E11" s="325"/>
      <c r="F11" s="325"/>
      <c r="G11" s="325"/>
      <c r="H11" s="325"/>
      <c r="I11" s="325"/>
      <c r="J11" s="325"/>
      <c r="K11" s="325"/>
      <c r="L11" s="101"/>
      <c r="M11" s="102"/>
      <c r="N11" s="100" t="s">
        <v>126</v>
      </c>
      <c r="O11" s="326" t="str">
        <f>data!C26</f>
        <v>SBI NUZVID</v>
      </c>
      <c r="P11" s="327"/>
      <c r="S11" s="103" t="str">
        <f>data!C23</f>
        <v>05120308013</v>
      </c>
    </row>
    <row r="12" spans="1:25" ht="15" customHeight="1">
      <c r="A12" s="312"/>
      <c r="B12" s="320" t="s">
        <v>127</v>
      </c>
      <c r="C12" s="320"/>
      <c r="D12" s="328"/>
      <c r="E12" s="328"/>
      <c r="F12" s="328"/>
      <c r="G12" s="328"/>
      <c r="H12" s="328"/>
      <c r="I12" s="328"/>
      <c r="J12" s="328"/>
      <c r="K12" s="328"/>
      <c r="L12" s="96"/>
      <c r="N12" s="104" t="s">
        <v>128</v>
      </c>
      <c r="O12" s="105" t="s">
        <v>129</v>
      </c>
      <c r="P12" s="106"/>
      <c r="R12" s="80" t="str">
        <f>LEFT(S11,4)</f>
        <v>0512</v>
      </c>
      <c r="V12" s="88">
        <v>1</v>
      </c>
      <c r="W12" s="88">
        <v>2</v>
      </c>
      <c r="X12" s="88">
        <v>3</v>
      </c>
      <c r="Y12" s="88">
        <v>4</v>
      </c>
    </row>
    <row r="13" spans="1:21" ht="15" customHeight="1">
      <c r="A13" s="312"/>
      <c r="B13" s="329" t="s">
        <v>55</v>
      </c>
      <c r="C13" s="329"/>
      <c r="D13" s="107"/>
      <c r="E13" s="107"/>
      <c r="F13" s="107"/>
      <c r="G13" s="107"/>
      <c r="H13" s="107"/>
      <c r="I13" s="107"/>
      <c r="J13" s="107"/>
      <c r="K13" s="107"/>
      <c r="L13" s="107"/>
      <c r="M13" s="108"/>
      <c r="N13" s="109" t="s">
        <v>130</v>
      </c>
      <c r="O13" s="330" t="s">
        <v>109</v>
      </c>
      <c r="P13" s="330"/>
      <c r="Q13" s="106"/>
      <c r="R13" s="80" t="str">
        <f>LEFT(R12,1)</f>
        <v>0</v>
      </c>
      <c r="S13" s="80" t="str">
        <f>RIGHT(LEFT(R12,2),1)</f>
        <v>5</v>
      </c>
      <c r="T13" s="80" t="str">
        <f>LEFT(RIGHT(R12,2),1)</f>
        <v>1</v>
      </c>
      <c r="U13" s="80" t="str">
        <f>RIGHT(RIGHT(R12,2),1)</f>
        <v>2</v>
      </c>
    </row>
    <row r="14" spans="1:25" ht="15" customHeight="1">
      <c r="A14" s="312"/>
      <c r="B14" s="331" t="s">
        <v>131</v>
      </c>
      <c r="C14" s="331"/>
      <c r="D14" s="111">
        <v>2</v>
      </c>
      <c r="E14" s="111">
        <v>0</v>
      </c>
      <c r="F14" s="111">
        <v>7</v>
      </c>
      <c r="G14" s="111">
        <v>1</v>
      </c>
      <c r="H14" s="332"/>
      <c r="I14" s="328"/>
      <c r="J14" s="328"/>
      <c r="K14" s="328"/>
      <c r="L14" s="333"/>
      <c r="M14" s="334">
        <v>1</v>
      </c>
      <c r="N14" s="335" t="s">
        <v>132</v>
      </c>
      <c r="O14" s="313" t="s">
        <v>133</v>
      </c>
      <c r="P14" s="336">
        <v>0</v>
      </c>
      <c r="S14" s="80">
        <f>'[1]data'!C26</f>
        <v>0</v>
      </c>
      <c r="U14" s="80" t="str">
        <f>MID(S14,1,4)</f>
        <v>0</v>
      </c>
      <c r="V14" s="88" t="str">
        <f>MID(U14,$V$12,1)</f>
        <v>0</v>
      </c>
      <c r="W14" s="88">
        <f>MID(U14,$W$12,1)</f>
      </c>
      <c r="X14" s="88">
        <f>MID(U14,$X$12,1)</f>
      </c>
      <c r="Y14" s="88">
        <f>MID(U14,$Y$12,1)</f>
      </c>
    </row>
    <row r="15" spans="1:25" ht="3.75" customHeight="1">
      <c r="A15" s="312"/>
      <c r="B15" s="110"/>
      <c r="C15" s="110"/>
      <c r="D15" s="117"/>
      <c r="E15" s="117"/>
      <c r="F15" s="117"/>
      <c r="G15" s="117"/>
      <c r="H15" s="118"/>
      <c r="I15" s="118"/>
      <c r="J15" s="118"/>
      <c r="K15" s="96"/>
      <c r="L15" s="113"/>
      <c r="M15" s="334"/>
      <c r="N15" s="335"/>
      <c r="O15" s="313"/>
      <c r="P15" s="336"/>
      <c r="V15" s="88"/>
      <c r="W15" s="88"/>
      <c r="X15" s="88"/>
      <c r="Y15" s="88"/>
    </row>
    <row r="16" spans="1:25" ht="15" customHeight="1">
      <c r="A16" s="312"/>
      <c r="B16" s="331" t="s">
        <v>134</v>
      </c>
      <c r="C16" s="331"/>
      <c r="D16" s="111">
        <v>0</v>
      </c>
      <c r="E16" s="111">
        <v>1</v>
      </c>
      <c r="F16" s="119"/>
      <c r="G16" s="119"/>
      <c r="H16" s="337"/>
      <c r="I16" s="337"/>
      <c r="J16" s="337"/>
      <c r="K16" s="337"/>
      <c r="L16" s="333"/>
      <c r="M16" s="334">
        <v>2</v>
      </c>
      <c r="N16" s="335" t="s">
        <v>135</v>
      </c>
      <c r="O16" s="313" t="s">
        <v>133</v>
      </c>
      <c r="P16" s="336">
        <v>0</v>
      </c>
      <c r="U16" s="80">
        <f>MID(S14,5,2)</f>
      </c>
      <c r="V16" s="88">
        <f>MID(U16,$V$12,1)</f>
      </c>
      <c r="W16" s="88">
        <f>MID(U16,$W$12,1)</f>
      </c>
      <c r="X16" s="88">
        <f>MID(U16,$X$12,1)</f>
      </c>
      <c r="Y16" s="88">
        <f>MID(U16,$Y$12,1)</f>
      </c>
    </row>
    <row r="17" spans="1:16" ht="3.75" customHeight="1">
      <c r="A17" s="312"/>
      <c r="B17" s="110"/>
      <c r="C17" s="110"/>
      <c r="D17" s="117"/>
      <c r="E17" s="117"/>
      <c r="F17" s="119"/>
      <c r="G17" s="119"/>
      <c r="H17" s="118"/>
      <c r="I17" s="118"/>
      <c r="J17" s="118"/>
      <c r="K17" s="96"/>
      <c r="L17" s="113"/>
      <c r="M17" s="334"/>
      <c r="N17" s="335"/>
      <c r="O17" s="313"/>
      <c r="P17" s="336"/>
    </row>
    <row r="18" spans="1:25" ht="21.75" customHeight="1">
      <c r="A18" s="312"/>
      <c r="B18" s="331" t="s">
        <v>136</v>
      </c>
      <c r="C18" s="331"/>
      <c r="D18" s="111">
        <v>1</v>
      </c>
      <c r="E18" s="111">
        <v>1</v>
      </c>
      <c r="F18" s="111">
        <v>5</v>
      </c>
      <c r="G18" s="119"/>
      <c r="H18" s="338"/>
      <c r="I18" s="338"/>
      <c r="J18" s="338"/>
      <c r="K18" s="338"/>
      <c r="L18" s="339"/>
      <c r="M18" s="334">
        <v>3</v>
      </c>
      <c r="N18" s="335" t="s">
        <v>137</v>
      </c>
      <c r="O18" s="313" t="s">
        <v>133</v>
      </c>
      <c r="P18" s="336">
        <v>0</v>
      </c>
      <c r="U18" s="80">
        <f>MID(S14,7,3)</f>
      </c>
      <c r="V18" s="88">
        <f>MID(U18,$V$12,1)</f>
      </c>
      <c r="W18" s="88">
        <f>MID(U18,$W$12,1)</f>
      </c>
      <c r="X18" s="88">
        <f>MID(U18,$X$12,1)</f>
      </c>
      <c r="Y18" s="88">
        <f>MID(U18,$Y$12,1)</f>
      </c>
    </row>
    <row r="19" spans="1:16" ht="4.5" customHeight="1">
      <c r="A19" s="312"/>
      <c r="B19" s="110"/>
      <c r="C19" s="110"/>
      <c r="D19" s="117"/>
      <c r="E19" s="117"/>
      <c r="F19" s="117"/>
      <c r="G19" s="119"/>
      <c r="H19" s="338"/>
      <c r="I19" s="338"/>
      <c r="J19" s="338"/>
      <c r="K19" s="338"/>
      <c r="L19" s="339"/>
      <c r="M19" s="334"/>
      <c r="N19" s="335"/>
      <c r="O19" s="313"/>
      <c r="P19" s="336"/>
    </row>
    <row r="20" spans="1:25" ht="15" customHeight="1">
      <c r="A20" s="312"/>
      <c r="B20" s="110" t="s">
        <v>138</v>
      </c>
      <c r="C20" s="110"/>
      <c r="D20" s="111">
        <v>0</v>
      </c>
      <c r="E20" s="111">
        <v>0</v>
      </c>
      <c r="F20" s="119"/>
      <c r="G20" s="119"/>
      <c r="H20" s="337"/>
      <c r="I20" s="337"/>
      <c r="J20" s="337"/>
      <c r="K20" s="328"/>
      <c r="L20" s="113"/>
      <c r="M20" s="114">
        <v>4</v>
      </c>
      <c r="N20" s="115" t="s">
        <v>139</v>
      </c>
      <c r="O20" s="90" t="s">
        <v>133</v>
      </c>
      <c r="P20" s="336">
        <v>0</v>
      </c>
      <c r="U20" s="80">
        <f>MID(S14,10,2)</f>
      </c>
      <c r="V20" s="88">
        <f>MID(U20,$V$12,1)</f>
      </c>
      <c r="W20" s="88">
        <f>MID(U20,$W$12,1)</f>
      </c>
      <c r="X20" s="88">
        <f>MID(U20,$X$12,1)</f>
      </c>
      <c r="Y20" s="88">
        <f>MID(U20,$Y$12,1)</f>
      </c>
    </row>
    <row r="21" spans="1:21" ht="1.5" customHeight="1">
      <c r="A21" s="312"/>
      <c r="C21" s="110"/>
      <c r="D21" s="117"/>
      <c r="E21" s="117"/>
      <c r="F21" s="119"/>
      <c r="G21" s="119"/>
      <c r="H21" s="118"/>
      <c r="I21" s="118"/>
      <c r="J21" s="118"/>
      <c r="K21" s="96"/>
      <c r="L21" s="113"/>
      <c r="M21" s="114"/>
      <c r="N21" s="115"/>
      <c r="O21" s="90"/>
      <c r="P21" s="336"/>
      <c r="U21" s="120" t="s">
        <v>140</v>
      </c>
    </row>
    <row r="22" spans="1:25" ht="18.75" customHeight="1">
      <c r="A22" s="312"/>
      <c r="B22" s="110" t="s">
        <v>141</v>
      </c>
      <c r="C22" s="110"/>
      <c r="D22" s="111">
        <f>IF(data!C6&lt;data!F6,0,1)</f>
        <v>1</v>
      </c>
      <c r="E22" s="111">
        <f>IF(data!C6&lt;data!F6,7,4)</f>
        <v>4</v>
      </c>
      <c r="F22" s="119"/>
      <c r="G22" s="119"/>
      <c r="H22" s="340"/>
      <c r="I22" s="340"/>
      <c r="J22" s="340"/>
      <c r="K22" s="340"/>
      <c r="L22" s="341"/>
      <c r="M22" s="114">
        <v>5</v>
      </c>
      <c r="N22" s="115" t="s">
        <v>142</v>
      </c>
      <c r="O22" s="90" t="s">
        <v>133</v>
      </c>
      <c r="P22" s="121"/>
      <c r="S22" s="80">
        <f>LEFT(S16,6)</f>
      </c>
      <c r="U22" s="80">
        <f>MID(S14,12,2)</f>
      </c>
      <c r="V22" s="88">
        <f>MID(U22,$V$12,1)</f>
      </c>
      <c r="W22" s="88">
        <f>MID(U22,$W$12,1)</f>
      </c>
      <c r="X22" s="88">
        <f>MID(U22,$X$12,1)</f>
      </c>
      <c r="Y22" s="88">
        <f>MID(U22,$Y$12,1)</f>
      </c>
    </row>
    <row r="23" spans="1:16" ht="1.5" customHeight="1">
      <c r="A23" s="312"/>
      <c r="C23" s="110"/>
      <c r="D23" s="117"/>
      <c r="E23" s="117"/>
      <c r="F23" s="119"/>
      <c r="G23" s="119"/>
      <c r="H23" s="118"/>
      <c r="I23" s="118"/>
      <c r="J23" s="118"/>
      <c r="K23" s="96"/>
      <c r="L23" s="113"/>
      <c r="M23" s="114"/>
      <c r="N23" s="115"/>
      <c r="O23" s="90"/>
      <c r="P23" s="121"/>
    </row>
    <row r="24" spans="1:25" ht="24" customHeight="1">
      <c r="A24" s="312"/>
      <c r="B24" s="110" t="s">
        <v>143</v>
      </c>
      <c r="C24" s="110"/>
      <c r="D24" s="111" t="str">
        <f>data!H27</f>
        <v>0</v>
      </c>
      <c r="E24" s="111" t="str">
        <f>data!I27</f>
        <v>0</v>
      </c>
      <c r="F24" s="111" t="str">
        <f>data!J27</f>
        <v>3</v>
      </c>
      <c r="G24" s="119"/>
      <c r="H24" s="337"/>
      <c r="I24" s="337"/>
      <c r="J24" s="337"/>
      <c r="K24" s="337"/>
      <c r="L24" s="333"/>
      <c r="M24" s="122">
        <v>6</v>
      </c>
      <c r="N24" s="123" t="s">
        <v>144</v>
      </c>
      <c r="O24" s="124" t="s">
        <v>133</v>
      </c>
      <c r="P24" s="116"/>
      <c r="R24" s="80">
        <f>LEFT(RIGHT(S22,2),1)</f>
      </c>
      <c r="S24" s="80">
        <f>RIGHT(RIGHT(S22,2),1)</f>
      </c>
      <c r="U24" s="80">
        <f>MID(S14,14,3)</f>
      </c>
      <c r="V24" s="88">
        <f>MID(U24,$V$12,1)</f>
      </c>
      <c r="W24" s="88">
        <f>MID(U24,$W$12,1)</f>
      </c>
      <c r="X24" s="88">
        <f>MID(U24,$X$12,1)</f>
      </c>
      <c r="Y24" s="88">
        <f>MID(U24,$Y$12,1)</f>
      </c>
    </row>
    <row r="25" spans="1:16" ht="2.25" customHeight="1">
      <c r="A25" s="312"/>
      <c r="B25" s="125"/>
      <c r="C25" s="98"/>
      <c r="D25" s="98"/>
      <c r="E25" s="98"/>
      <c r="F25" s="98"/>
      <c r="G25" s="98"/>
      <c r="H25" s="98"/>
      <c r="I25" s="98"/>
      <c r="J25" s="98"/>
      <c r="K25" s="98"/>
      <c r="L25" s="126"/>
      <c r="M25" s="127"/>
      <c r="N25" s="123"/>
      <c r="O25" s="124"/>
      <c r="P25" s="116"/>
    </row>
    <row r="26" spans="1:16" ht="15" customHeight="1">
      <c r="A26" s="312"/>
      <c r="M26" s="114">
        <v>7</v>
      </c>
      <c r="N26" s="128" t="s">
        <v>145</v>
      </c>
      <c r="O26" s="88" t="s">
        <v>133</v>
      </c>
      <c r="P26" s="129"/>
    </row>
    <row r="27" spans="1:16" ht="15" customHeight="1">
      <c r="A27" s="312"/>
      <c r="B27" s="320" t="s">
        <v>146</v>
      </c>
      <c r="C27" s="320"/>
      <c r="D27" s="342"/>
      <c r="E27" s="92" t="s">
        <v>147</v>
      </c>
      <c r="F27" s="130" t="s">
        <v>148</v>
      </c>
      <c r="G27" s="131"/>
      <c r="H27" s="131"/>
      <c r="I27" s="132"/>
      <c r="J27" s="133"/>
      <c r="K27" s="92" t="s">
        <v>149</v>
      </c>
      <c r="L27" s="112"/>
      <c r="M27" s="114">
        <v>8</v>
      </c>
      <c r="N27" s="128" t="s">
        <v>150</v>
      </c>
      <c r="O27" s="88" t="s">
        <v>133</v>
      </c>
      <c r="P27" s="129"/>
    </row>
    <row r="28" spans="1:16" ht="14.25" customHeight="1">
      <c r="A28" s="312"/>
      <c r="E28" s="106"/>
      <c r="M28" s="114">
        <v>9</v>
      </c>
      <c r="N28" s="128" t="s">
        <v>151</v>
      </c>
      <c r="O28" s="88" t="s">
        <v>133</v>
      </c>
      <c r="P28" s="129"/>
    </row>
    <row r="29" spans="1:16" ht="9.75" customHeight="1">
      <c r="A29" s="312"/>
      <c r="B29" s="343" t="s">
        <v>152</v>
      </c>
      <c r="C29" s="344"/>
      <c r="D29" s="345">
        <v>2</v>
      </c>
      <c r="E29" s="345">
        <v>2</v>
      </c>
      <c r="F29" s="345">
        <v>0</v>
      </c>
      <c r="G29" s="345">
        <v>2</v>
      </c>
      <c r="H29" s="90"/>
      <c r="I29" s="90"/>
      <c r="J29" s="90"/>
      <c r="M29" s="114">
        <v>10</v>
      </c>
      <c r="N29" s="128" t="s">
        <v>153</v>
      </c>
      <c r="O29" s="88" t="s">
        <v>133</v>
      </c>
      <c r="P29" s="129"/>
    </row>
    <row r="30" spans="1:19" ht="12.75" customHeight="1">
      <c r="A30" s="312"/>
      <c r="B30" s="343"/>
      <c r="C30" s="344"/>
      <c r="D30" s="345"/>
      <c r="E30" s="345"/>
      <c r="F30" s="345"/>
      <c r="G30" s="345"/>
      <c r="H30" s="90"/>
      <c r="I30" s="90"/>
      <c r="J30" s="90"/>
      <c r="M30" s="114">
        <v>11</v>
      </c>
      <c r="N30" s="128" t="s">
        <v>154</v>
      </c>
      <c r="O30" s="88" t="s">
        <v>133</v>
      </c>
      <c r="P30" s="129"/>
      <c r="S30" s="134"/>
    </row>
    <row r="31" spans="1:19" ht="15" customHeight="1">
      <c r="A31" s="312"/>
      <c r="M31" s="114">
        <v>12</v>
      </c>
      <c r="N31" s="128" t="s">
        <v>155</v>
      </c>
      <c r="O31" s="88" t="s">
        <v>133</v>
      </c>
      <c r="P31" s="129"/>
      <c r="S31" s="134"/>
    </row>
    <row r="32" spans="1:16" ht="15" customHeight="1">
      <c r="A32" s="312"/>
      <c r="B32" s="135" t="s">
        <v>156</v>
      </c>
      <c r="C32" s="94" t="s">
        <v>19</v>
      </c>
      <c r="D32" s="94"/>
      <c r="E32" s="94"/>
      <c r="F32" s="94"/>
      <c r="G32" s="88" t="s">
        <v>133</v>
      </c>
      <c r="H32" s="346"/>
      <c r="I32" s="346"/>
      <c r="J32" s="346"/>
      <c r="K32" s="347"/>
      <c r="L32" s="136"/>
      <c r="M32" s="114">
        <v>13</v>
      </c>
      <c r="N32" s="128" t="s">
        <v>157</v>
      </c>
      <c r="O32" s="88" t="s">
        <v>133</v>
      </c>
      <c r="P32" s="129"/>
    </row>
    <row r="33" spans="1:16" ht="15" customHeight="1">
      <c r="A33" s="312"/>
      <c r="B33" s="135" t="s">
        <v>158</v>
      </c>
      <c r="C33" s="94" t="s">
        <v>159</v>
      </c>
      <c r="D33" s="94"/>
      <c r="E33" s="94"/>
      <c r="F33" s="94"/>
      <c r="G33" s="88" t="s">
        <v>133</v>
      </c>
      <c r="H33" s="346"/>
      <c r="I33" s="346"/>
      <c r="J33" s="346"/>
      <c r="K33" s="347"/>
      <c r="L33" s="136"/>
      <c r="M33" s="114">
        <v>14</v>
      </c>
      <c r="N33" s="128" t="s">
        <v>160</v>
      </c>
      <c r="O33" s="88" t="s">
        <v>133</v>
      </c>
      <c r="P33" s="137"/>
    </row>
    <row r="34" spans="1:16" ht="15" customHeight="1">
      <c r="A34" s="312"/>
      <c r="B34" s="135" t="s">
        <v>161</v>
      </c>
      <c r="C34" s="94" t="s">
        <v>162</v>
      </c>
      <c r="D34" s="94"/>
      <c r="E34" s="94"/>
      <c r="F34" s="94"/>
      <c r="G34" s="88" t="s">
        <v>133</v>
      </c>
      <c r="H34" s="346"/>
      <c r="I34" s="346"/>
      <c r="J34" s="346"/>
      <c r="K34" s="347"/>
      <c r="L34" s="136"/>
      <c r="M34" s="114">
        <v>15</v>
      </c>
      <c r="N34" s="128" t="s">
        <v>163</v>
      </c>
      <c r="O34" s="88" t="s">
        <v>133</v>
      </c>
      <c r="P34" s="129"/>
    </row>
    <row r="35" spans="1:16" ht="15" customHeight="1">
      <c r="A35" s="312"/>
      <c r="B35" s="135" t="s">
        <v>164</v>
      </c>
      <c r="C35" s="94" t="s">
        <v>1</v>
      </c>
      <c r="D35" s="94"/>
      <c r="E35" s="94"/>
      <c r="F35" s="94"/>
      <c r="G35" s="88" t="s">
        <v>133</v>
      </c>
      <c r="H35" s="346"/>
      <c r="I35" s="346"/>
      <c r="J35" s="346"/>
      <c r="K35" s="347"/>
      <c r="L35" s="136"/>
      <c r="M35" s="114">
        <v>16</v>
      </c>
      <c r="N35" s="128" t="s">
        <v>165</v>
      </c>
      <c r="O35" s="88" t="s">
        <v>133</v>
      </c>
      <c r="P35" s="138"/>
    </row>
    <row r="36" spans="1:16" ht="15" customHeight="1">
      <c r="A36" s="312"/>
      <c r="B36" s="139" t="s">
        <v>166</v>
      </c>
      <c r="C36" s="140" t="s">
        <v>21</v>
      </c>
      <c r="D36" s="94"/>
      <c r="E36" s="94"/>
      <c r="F36" s="94"/>
      <c r="G36" s="88" t="s">
        <v>133</v>
      </c>
      <c r="H36" s="346"/>
      <c r="I36" s="346"/>
      <c r="J36" s="346"/>
      <c r="K36" s="347"/>
      <c r="L36" s="141"/>
      <c r="M36" s="114">
        <v>17</v>
      </c>
      <c r="N36" s="128" t="s">
        <v>167</v>
      </c>
      <c r="O36" s="88" t="s">
        <v>133</v>
      </c>
      <c r="P36" s="129"/>
    </row>
    <row r="37" spans="1:16" ht="15" customHeight="1">
      <c r="A37" s="348" t="s">
        <v>168</v>
      </c>
      <c r="B37" s="142" t="s">
        <v>169</v>
      </c>
      <c r="C37" s="349" t="s">
        <v>170</v>
      </c>
      <c r="D37" s="349"/>
      <c r="E37" s="349"/>
      <c r="F37" s="349"/>
      <c r="G37" s="88" t="s">
        <v>133</v>
      </c>
      <c r="H37" s="346"/>
      <c r="I37" s="346"/>
      <c r="J37" s="346"/>
      <c r="K37" s="347"/>
      <c r="L37" s="136"/>
      <c r="M37" s="114">
        <v>18</v>
      </c>
      <c r="N37" s="128" t="s">
        <v>171</v>
      </c>
      <c r="O37" s="88" t="s">
        <v>133</v>
      </c>
      <c r="P37" s="129"/>
    </row>
    <row r="38" spans="1:16" ht="15" customHeight="1">
      <c r="A38" s="348"/>
      <c r="B38" s="143" t="s">
        <v>302</v>
      </c>
      <c r="C38" s="140" t="s">
        <v>77</v>
      </c>
      <c r="D38" s="140"/>
      <c r="E38" s="140"/>
      <c r="F38" s="140"/>
      <c r="G38" s="88" t="s">
        <v>133</v>
      </c>
      <c r="H38" s="346">
        <f>Bill!Q20</f>
        <v>146477</v>
      </c>
      <c r="I38" s="346"/>
      <c r="J38" s="346"/>
      <c r="K38" s="347"/>
      <c r="L38" s="136"/>
      <c r="M38" s="114">
        <v>19</v>
      </c>
      <c r="N38" s="144" t="s">
        <v>172</v>
      </c>
      <c r="O38" s="88" t="s">
        <v>133</v>
      </c>
      <c r="P38" s="116"/>
    </row>
    <row r="39" spans="1:16" ht="15" customHeight="1">
      <c r="A39" s="348"/>
      <c r="B39" s="143"/>
      <c r="C39" s="140" t="s">
        <v>173</v>
      </c>
      <c r="D39" s="140"/>
      <c r="E39" s="140"/>
      <c r="F39" s="140"/>
      <c r="G39" s="88" t="s">
        <v>133</v>
      </c>
      <c r="H39" s="346"/>
      <c r="I39" s="346"/>
      <c r="J39" s="346"/>
      <c r="K39" s="347"/>
      <c r="L39" s="136"/>
      <c r="M39" s="114">
        <v>20</v>
      </c>
      <c r="N39" s="80" t="s">
        <v>174</v>
      </c>
      <c r="O39" s="88" t="s">
        <v>133</v>
      </c>
      <c r="P39" s="145">
        <v>0</v>
      </c>
    </row>
    <row r="40" spans="1:16" ht="15" customHeight="1" thickBot="1">
      <c r="A40" s="348"/>
      <c r="B40" s="106"/>
      <c r="C40" s="94" t="s">
        <v>175</v>
      </c>
      <c r="D40" s="94"/>
      <c r="E40" s="94"/>
      <c r="F40" s="94"/>
      <c r="G40" s="88" t="s">
        <v>133</v>
      </c>
      <c r="H40" s="350">
        <f>SUM(H32:H39)</f>
        <v>146477</v>
      </c>
      <c r="I40" s="350"/>
      <c r="J40" s="350"/>
      <c r="K40" s="350"/>
      <c r="L40" s="146"/>
      <c r="M40" s="114">
        <v>21</v>
      </c>
      <c r="N40" s="80" t="s">
        <v>176</v>
      </c>
      <c r="O40" s="88" t="s">
        <v>133</v>
      </c>
      <c r="P40" s="145"/>
    </row>
    <row r="41" spans="1:16" ht="15" customHeight="1" thickTop="1">
      <c r="A41" s="348"/>
      <c r="C41" s="94" t="s">
        <v>177</v>
      </c>
      <c r="D41" s="94"/>
      <c r="E41" s="94"/>
      <c r="F41" s="94"/>
      <c r="G41" s="88" t="s">
        <v>133</v>
      </c>
      <c r="H41" s="351">
        <f>P42</f>
        <v>0</v>
      </c>
      <c r="I41" s="351"/>
      <c r="J41" s="351"/>
      <c r="K41" s="352"/>
      <c r="L41" s="136"/>
      <c r="M41" s="114">
        <v>22</v>
      </c>
      <c r="N41" s="80" t="s">
        <v>178</v>
      </c>
      <c r="O41" s="88" t="s">
        <v>133</v>
      </c>
      <c r="P41" s="145"/>
    </row>
    <row r="42" spans="1:16" ht="15" customHeight="1" thickBot="1">
      <c r="A42" s="348"/>
      <c r="C42" s="94" t="s">
        <v>179</v>
      </c>
      <c r="D42" s="94"/>
      <c r="E42" s="94"/>
      <c r="F42" s="94"/>
      <c r="G42" s="88" t="s">
        <v>133</v>
      </c>
      <c r="H42" s="350">
        <f>H40-H41</f>
        <v>146477</v>
      </c>
      <c r="I42" s="350"/>
      <c r="J42" s="350"/>
      <c r="K42" s="350"/>
      <c r="L42" s="146"/>
      <c r="M42" s="147" t="s">
        <v>180</v>
      </c>
      <c r="N42" s="90"/>
      <c r="O42" s="88" t="s">
        <v>133</v>
      </c>
      <c r="P42" s="148">
        <f>SUM(P14:P41)</f>
        <v>0</v>
      </c>
    </row>
    <row r="43" spans="1:20" ht="15" customHeight="1" thickTop="1">
      <c r="A43" s="149"/>
      <c r="B43" s="353" t="s">
        <v>181</v>
      </c>
      <c r="C43" s="353"/>
      <c r="D43" s="353"/>
      <c r="E43" s="353"/>
      <c r="F43" s="353"/>
      <c r="G43" s="353"/>
      <c r="H43" s="150"/>
      <c r="I43" s="150"/>
      <c r="J43" s="150"/>
      <c r="K43" s="151"/>
      <c r="L43" s="152"/>
      <c r="M43" s="147" t="s">
        <v>182</v>
      </c>
      <c r="N43" s="90"/>
      <c r="O43" s="90" t="s">
        <v>133</v>
      </c>
      <c r="P43" s="153"/>
      <c r="T43" s="154"/>
    </row>
    <row r="44" spans="1:16" ht="10.5" customHeight="1">
      <c r="A44" s="354" t="str">
        <f>$X$103</f>
        <v>One lakh Forty Six thousand Four hundred Seventy Seven only</v>
      </c>
      <c r="B44" s="354"/>
      <c r="C44" s="354"/>
      <c r="D44" s="354"/>
      <c r="E44" s="354"/>
      <c r="F44" s="354"/>
      <c r="G44" s="354"/>
      <c r="H44" s="354"/>
      <c r="I44" s="354"/>
      <c r="J44" s="354"/>
      <c r="K44" s="354"/>
      <c r="L44" s="155"/>
      <c r="M44" s="114"/>
      <c r="N44" s="106"/>
      <c r="O44" s="106"/>
      <c r="P44" s="106"/>
    </row>
    <row r="45" spans="1:16" ht="6" customHeight="1">
      <c r="A45" s="354"/>
      <c r="B45" s="354"/>
      <c r="C45" s="354"/>
      <c r="D45" s="354"/>
      <c r="E45" s="354"/>
      <c r="F45" s="354"/>
      <c r="G45" s="354"/>
      <c r="H45" s="354"/>
      <c r="I45" s="354"/>
      <c r="J45" s="354"/>
      <c r="K45" s="354"/>
      <c r="L45" s="155"/>
      <c r="M45" s="114"/>
      <c r="N45" s="106"/>
      <c r="O45" s="106"/>
      <c r="P45" s="106"/>
    </row>
    <row r="46" spans="1:16" ht="21" customHeight="1">
      <c r="A46" s="354"/>
      <c r="B46" s="354"/>
      <c r="C46" s="354"/>
      <c r="D46" s="354"/>
      <c r="E46" s="354"/>
      <c r="F46" s="354"/>
      <c r="G46" s="354"/>
      <c r="H46" s="354"/>
      <c r="I46" s="354"/>
      <c r="J46" s="354"/>
      <c r="K46" s="354"/>
      <c r="L46" s="155"/>
      <c r="M46" s="355" t="s">
        <v>183</v>
      </c>
      <c r="N46" s="356"/>
      <c r="O46" s="356"/>
      <c r="P46" s="356"/>
    </row>
    <row r="47" spans="3:16" ht="11.25" customHeight="1" hidden="1">
      <c r="C47" s="156"/>
      <c r="D47" s="156"/>
      <c r="E47" s="156"/>
      <c r="F47" s="156"/>
      <c r="G47" s="156"/>
      <c r="H47" s="156"/>
      <c r="I47" s="156"/>
      <c r="J47" s="156"/>
      <c r="K47" s="156"/>
      <c r="L47" s="156"/>
      <c r="M47" s="156"/>
      <c r="N47" s="156"/>
      <c r="O47" s="156"/>
      <c r="P47" s="156"/>
    </row>
    <row r="48" spans="2:16" ht="22.5" customHeight="1">
      <c r="B48" s="357" t="s">
        <v>184</v>
      </c>
      <c r="C48" s="357"/>
      <c r="D48" s="357"/>
      <c r="E48" s="357"/>
      <c r="F48" s="357"/>
      <c r="G48" s="357"/>
      <c r="H48" s="357"/>
      <c r="I48" s="357"/>
      <c r="J48" s="357"/>
      <c r="K48" s="357"/>
      <c r="L48" s="357"/>
      <c r="M48" s="357"/>
      <c r="N48" s="357"/>
      <c r="O48" s="357"/>
      <c r="P48" s="357"/>
    </row>
    <row r="49" spans="2:16" ht="15" customHeight="1">
      <c r="B49" s="320" t="s">
        <v>185</v>
      </c>
      <c r="C49" s="320"/>
      <c r="D49" s="320"/>
      <c r="E49" s="320"/>
      <c r="F49" s="320"/>
      <c r="G49" s="320"/>
      <c r="H49" s="320"/>
      <c r="I49" s="320"/>
      <c r="J49" s="320"/>
      <c r="K49" s="320"/>
      <c r="L49" s="320"/>
      <c r="M49" s="320"/>
      <c r="N49" s="320"/>
      <c r="O49" s="320"/>
      <c r="P49" s="320"/>
    </row>
    <row r="50" spans="2:16" ht="15" customHeight="1">
      <c r="B50" s="358" t="s">
        <v>186</v>
      </c>
      <c r="C50" s="358"/>
      <c r="D50" s="358"/>
      <c r="E50" s="358"/>
      <c r="F50" s="358"/>
      <c r="G50" s="358"/>
      <c r="H50" s="358"/>
      <c r="I50" s="358"/>
      <c r="J50" s="358"/>
      <c r="K50" s="358"/>
      <c r="L50" s="358"/>
      <c r="M50" s="358"/>
      <c r="N50" s="358"/>
      <c r="O50" s="358"/>
      <c r="P50" s="358"/>
    </row>
    <row r="51" spans="2:16" ht="15" customHeight="1">
      <c r="B51" s="320" t="s">
        <v>187</v>
      </c>
      <c r="C51" s="320"/>
      <c r="D51" s="320"/>
      <c r="E51" s="320"/>
      <c r="F51" s="320"/>
      <c r="G51" s="320"/>
      <c r="H51" s="320"/>
      <c r="I51" s="320"/>
      <c r="J51" s="320"/>
      <c r="K51" s="320"/>
      <c r="L51" s="320"/>
      <c r="M51" s="320"/>
      <c r="N51" s="320"/>
      <c r="O51" s="320"/>
      <c r="P51" s="320"/>
    </row>
    <row r="52" spans="2:16" ht="15" customHeight="1">
      <c r="B52" s="320" t="s">
        <v>188</v>
      </c>
      <c r="C52" s="320"/>
      <c r="D52" s="320"/>
      <c r="E52" s="320"/>
      <c r="F52" s="320"/>
      <c r="G52" s="320"/>
      <c r="H52" s="320"/>
      <c r="I52" s="320"/>
      <c r="J52" s="320"/>
      <c r="K52" s="320"/>
      <c r="L52" s="320"/>
      <c r="M52" s="320"/>
      <c r="N52" s="320"/>
      <c r="O52" s="320"/>
      <c r="P52" s="320"/>
    </row>
    <row r="53" spans="7:8" ht="17.25" customHeight="1">
      <c r="G53" s="88">
        <v>1</v>
      </c>
      <c r="H53" s="80" t="s">
        <v>189</v>
      </c>
    </row>
    <row r="54" spans="7:8" ht="17.25" customHeight="1">
      <c r="G54" s="88"/>
      <c r="H54" s="80" t="s">
        <v>190</v>
      </c>
    </row>
    <row r="55" spans="7:8" ht="17.25" customHeight="1">
      <c r="G55" s="88">
        <v>2</v>
      </c>
      <c r="H55" s="80" t="s">
        <v>191</v>
      </c>
    </row>
    <row r="56" ht="17.25" customHeight="1">
      <c r="H56" s="80" t="s">
        <v>192</v>
      </c>
    </row>
    <row r="57" ht="21.75" customHeight="1">
      <c r="C57" s="157"/>
    </row>
    <row r="58" spans="14:16" ht="12.75">
      <c r="N58" s="359" t="s">
        <v>193</v>
      </c>
      <c r="O58" s="359"/>
      <c r="P58" s="359"/>
    </row>
    <row r="91" spans="17:39" ht="12.75" hidden="1">
      <c r="Q91" s="158"/>
      <c r="R91" s="158"/>
      <c r="S91" s="158"/>
      <c r="X91" s="159">
        <f>H42</f>
        <v>146477</v>
      </c>
      <c r="Y91" s="158">
        <f>(X91-X94)/1000</f>
        <v>146</v>
      </c>
      <c r="Z91" s="158"/>
      <c r="AA91" s="158"/>
      <c r="AB91" s="158"/>
      <c r="AC91" s="158"/>
      <c r="AD91" s="158"/>
      <c r="AE91" s="158"/>
      <c r="AF91" s="158"/>
      <c r="AG91" s="158"/>
      <c r="AH91" s="158"/>
      <c r="AI91" s="158"/>
      <c r="AJ91" s="158"/>
      <c r="AK91" s="158">
        <v>1</v>
      </c>
      <c r="AL91" s="158" t="s">
        <v>194</v>
      </c>
      <c r="AM91" s="158"/>
    </row>
    <row r="92" spans="17:39" ht="12.75" hidden="1">
      <c r="Q92" s="158"/>
      <c r="R92" s="158"/>
      <c r="S92" s="158"/>
      <c r="X92" s="158">
        <f>(Y91-X93)/100</f>
        <v>1</v>
      </c>
      <c r="Y92" s="158">
        <f>X92</f>
        <v>1</v>
      </c>
      <c r="Z92" s="158">
        <f>RIGHT(Y92,2)*1</f>
        <v>1</v>
      </c>
      <c r="AA92" s="158">
        <f>(Y92-Z92)/100</f>
        <v>0</v>
      </c>
      <c r="AB92" s="158">
        <f>(Z92-RIGHT(Z92,1)*1)/10</f>
        <v>0</v>
      </c>
      <c r="AC92" s="158">
        <f>RIGHT(Y92,1)*1</f>
        <v>1</v>
      </c>
      <c r="AD92" s="158" t="str">
        <f>IF(AB92=AK92,AM92,IF(AB92=AK93,AM93,IF(AB92=AK94,AM94,IF(AB92=AK95,AM95,IF(AB92=AK96,AM96,IF(AB92=AK97,AM97,IF(AB92=AK98,AM98,IF(AB92=AK99,AM99," "))))))))</f>
        <v> </v>
      </c>
      <c r="AE92" s="158" t="str">
        <f>IF(AB92=1," ",IF(AC92=AK91,AL91,IF(AC92=AK92,AL92,IF(AC92=AK93,AL93,IF(AC92=AK94,AL94,IF(AC92=AK95,AL95,IF(AC92=AK96,AL96," ")))))))</f>
        <v>One</v>
      </c>
      <c r="AF92" s="158" t="str">
        <f>IF(AB92=1," ",IF(AC92=AK97,AL97,IF(AC92=AK98,AL98,IF(AC92=AK99,AL99," "))))</f>
        <v> </v>
      </c>
      <c r="AG92" s="158" t="str">
        <f>IF(AB92=0," ",IF(AB92&gt;1," ",IF(AC92=AK92,AL102,IF(AC92=AK93,AL103,IF(AC92=AK94,AL104,IF(AC92=AK95,AL105,IF(AC92=AK96,AL106,IF(AC92=AK97,AL107," "))))))))</f>
        <v> </v>
      </c>
      <c r="AH92" s="158" t="str">
        <f>IF(AB92=0," ",IF(AB92&gt;1," ",IF(AC92=AK98,AL108,IF(AC92=AK99,AL109,IF(AC92=AK91,AL101,IF(AC92=0,AL100," "))))))</f>
        <v> </v>
      </c>
      <c r="AI92" s="158" t="str">
        <f>IF(AB92=0," ","lakh")</f>
        <v> </v>
      </c>
      <c r="AJ92" s="158" t="str">
        <f>IF(AC92=0," ",IF(AB92&gt;0," ","lakh"))</f>
        <v>lakh</v>
      </c>
      <c r="AK92" s="158">
        <v>2</v>
      </c>
      <c r="AL92" s="158" t="s">
        <v>195</v>
      </c>
      <c r="AM92" s="158" t="s">
        <v>196</v>
      </c>
    </row>
    <row r="93" spans="17:39" ht="12.75" hidden="1">
      <c r="Q93" s="158"/>
      <c r="R93" s="158"/>
      <c r="S93" s="158"/>
      <c r="X93" s="158">
        <f>RIGHT(Y91,2)*1</f>
        <v>46</v>
      </c>
      <c r="Y93" s="158">
        <f>X93</f>
        <v>46</v>
      </c>
      <c r="Z93" s="158">
        <f>RIGHT(Y93,2)*1</f>
        <v>46</v>
      </c>
      <c r="AA93" s="158">
        <f>(Y93-Z93)/100</f>
        <v>0</v>
      </c>
      <c r="AB93" s="158">
        <f>(Z93-RIGHT(Z93,1)*1)/10</f>
        <v>4</v>
      </c>
      <c r="AC93" s="158">
        <f>RIGHT(Y93,1)*1</f>
        <v>6</v>
      </c>
      <c r="AD93" s="158" t="str">
        <f>IF(AB93=AK92,AM92,IF(AB93=AK93,AM93,IF(AB93=AK94,AM94,IF(AB93=AK95,AM95,IF(AB93=AK96,AM96,IF(AB93=AK97,AM97,IF(AB93=AK98,AM98,IF(AB93=AK99,AM99," "))))))))</f>
        <v>Forty </v>
      </c>
      <c r="AE93" s="158" t="str">
        <f>IF(AB93=1," ",IF(AC93=AK91,AL91,IF(AC93=AK92,AL92,IF(AC93=AK93,AL93,IF(AC93=AK94,AL94,IF(AC93=AK95,AL95,IF(AC93=AK96,AL96," ")))))))</f>
        <v>Six</v>
      </c>
      <c r="AF93" s="158" t="str">
        <f>IF(AB93=1," ",IF(AC93=AK97,AL97,IF(AC93=AK98,AL98,IF(AC93=AK99,AL99," "))))</f>
        <v> </v>
      </c>
      <c r="AG93" s="158" t="str">
        <f>IF(AB93=0," ",IF(AB93&gt;1," ",IF(AC93=AK92,AL102,IF(AC93=AK93,AL103,IF(AC93=AK94,AL104,IF(AC93=AK95,AL105,IF(AC93=AK96,AL106,IF(AC93=AK97,AL107," "))))))))</f>
        <v> </v>
      </c>
      <c r="AH93" s="158" t="str">
        <f>IF(AB93=0," ",IF(AB93&gt;1," ",IF(AC93=AK98,AL108,IF(AC93=AK99,AL109,IF(AC93=AK91,AL101,IF(AC93=0,AL100," "))))))</f>
        <v> </v>
      </c>
      <c r="AI93" s="158" t="str">
        <f>IF(AB93=0," ","thousand")</f>
        <v>thousand</v>
      </c>
      <c r="AJ93" s="158" t="str">
        <f>IF(AC93=0," ",IF(AB93&gt;0," ","thousand"))</f>
        <v> </v>
      </c>
      <c r="AK93" s="158">
        <v>3</v>
      </c>
      <c r="AL93" s="158" t="s">
        <v>197</v>
      </c>
      <c r="AM93" s="158" t="s">
        <v>198</v>
      </c>
    </row>
    <row r="94" spans="17:39" ht="12.75" hidden="1">
      <c r="Q94" s="158"/>
      <c r="R94" s="158"/>
      <c r="S94" s="158"/>
      <c r="X94" s="158">
        <f>RIGHT(X91,3)*1</f>
        <v>477</v>
      </c>
      <c r="Y94" s="158">
        <f>X94</f>
        <v>477</v>
      </c>
      <c r="Z94" s="158">
        <f>ROUND((Y94-AA95)/100,0)</f>
        <v>4</v>
      </c>
      <c r="AA94" s="158"/>
      <c r="AB94" s="158"/>
      <c r="AC94" s="158"/>
      <c r="AD94" s="158"/>
      <c r="AE94" s="158" t="str">
        <f>IF(Z94=0," ",IF(Z94=AK91,AL91,IF(Z94=AK92,AL92,IF(Z94=AK93,AL93,IF(Z94=AK94,AL94,IF(Z94=AK95,AL95,IF(Z94=AK96,AL96," ")))))))</f>
        <v>Four</v>
      </c>
      <c r="AF94" s="158" t="str">
        <f>IF(Z94=0," ",IF(Z94=AK97,AL97,IF(Z94=AK98,AL98,IF(Z94=AK99,AL99," "))))</f>
        <v> </v>
      </c>
      <c r="AG94" s="158"/>
      <c r="AH94" s="158"/>
      <c r="AI94" s="158" t="str">
        <f>IF(Z94=0," ","hundred")</f>
        <v>hundred</v>
      </c>
      <c r="AJ94" s="158"/>
      <c r="AK94" s="158">
        <v>4</v>
      </c>
      <c r="AL94" s="158" t="s">
        <v>199</v>
      </c>
      <c r="AM94" s="158" t="s">
        <v>200</v>
      </c>
    </row>
    <row r="95" spans="17:39" ht="12.75" hidden="1">
      <c r="Q95" s="158"/>
      <c r="R95" s="158"/>
      <c r="S95" s="158"/>
      <c r="X95" s="158"/>
      <c r="Y95" s="158"/>
      <c r="Z95" s="158"/>
      <c r="AA95" s="158">
        <f>RIGHT(Y94,2)*1</f>
        <v>77</v>
      </c>
      <c r="AB95" s="158">
        <f>(AA95-RIGHT(AA95,1)*1)/10</f>
        <v>7</v>
      </c>
      <c r="AC95" s="158">
        <f>RIGHT(Y94,1)*1</f>
        <v>7</v>
      </c>
      <c r="AD95" s="158" t="str">
        <f>IF(AB95=AK92,AM92,IF(AB95=AK93,AM93,IF(AB95=AK94,AM94,IF(AB95=AK95,AM95,IF(AB95=AK96,AM96,IF(AB95=AK97,AM97,IF(AB95=AK98,AM98,IF(AB95=AK99,AM99," "))))))))</f>
        <v>Seventy </v>
      </c>
      <c r="AE95" s="158" t="str">
        <f>IF(AB95=1," ",IF(AC95=AK91,AL91,IF(AC95=AK92,AL92,IF(AC95=AK93,AL93,IF(AC95=AK94,AL94,IF(AC95=AK95,AL95,IF(AC95=AK96,AL96," ")))))))</f>
        <v> </v>
      </c>
      <c r="AF95" s="158" t="str">
        <f>IF(AB95=1," ",IF(AC95=AK97,AL97,IF(AC95=AK98,AL98,IF(AC95=AK99,AL99," "))))</f>
        <v>Seven</v>
      </c>
      <c r="AG95" s="158" t="str">
        <f>IF(AB95=0," ",IF(AB95&gt;1," ",IF(AC95=AK92,AL102,IF(AC95=AK93,AL103,IF(AC95=AK94,AL104,IF(AC95=AK95,AL105,IF(AC95=AL106,AL96,IF(AC95=AK97,AL107," "))))))))</f>
        <v> </v>
      </c>
      <c r="AH95" s="158" t="str">
        <f>IF(AB95=0," ",IF(AB95&gt;1," ",IF(AC95=AK98,AL108,IF(AC95=AK99,AL109,IF(AC95=AK91,AL101,IF(AC95=0,AL100," "))))))</f>
        <v> </v>
      </c>
      <c r="AI95" s="158"/>
      <c r="AJ95" s="158"/>
      <c r="AK95" s="158">
        <v>5</v>
      </c>
      <c r="AL95" s="158" t="s">
        <v>201</v>
      </c>
      <c r="AM95" s="158" t="s">
        <v>202</v>
      </c>
    </row>
    <row r="96" spans="17:39" ht="12.75" hidden="1">
      <c r="Q96" s="158"/>
      <c r="R96" s="158"/>
      <c r="S96" s="158"/>
      <c r="X96" s="158"/>
      <c r="Y96" s="158"/>
      <c r="Z96" s="158"/>
      <c r="AA96" s="158"/>
      <c r="AB96" s="158">
        <f>AB95</f>
        <v>7</v>
      </c>
      <c r="AC96" s="158">
        <f>AC95</f>
        <v>7</v>
      </c>
      <c r="AD96" s="158"/>
      <c r="AE96" s="158"/>
      <c r="AF96" s="158"/>
      <c r="AG96" s="158"/>
      <c r="AH96" s="158"/>
      <c r="AI96" s="158"/>
      <c r="AJ96" s="158"/>
      <c r="AK96" s="158">
        <v>6</v>
      </c>
      <c r="AL96" s="158" t="s">
        <v>203</v>
      </c>
      <c r="AM96" s="158" t="s">
        <v>204</v>
      </c>
    </row>
    <row r="97" spans="17:39" ht="12.75" hidden="1">
      <c r="Q97" s="158"/>
      <c r="R97" s="158"/>
      <c r="S97" s="158"/>
      <c r="X97" s="158"/>
      <c r="Y97" s="158"/>
      <c r="Z97" s="158"/>
      <c r="AA97" s="158"/>
      <c r="AB97" s="158"/>
      <c r="AC97" s="158"/>
      <c r="AD97" s="158"/>
      <c r="AE97" s="158"/>
      <c r="AF97" s="158"/>
      <c r="AG97" s="158"/>
      <c r="AH97" s="158"/>
      <c r="AI97" s="158"/>
      <c r="AJ97" s="158"/>
      <c r="AK97" s="158">
        <v>7</v>
      </c>
      <c r="AL97" s="158" t="s">
        <v>205</v>
      </c>
      <c r="AM97" s="158" t="s">
        <v>206</v>
      </c>
    </row>
    <row r="98" spans="17:39" ht="12.75" hidden="1">
      <c r="Q98" s="158"/>
      <c r="R98" s="158"/>
      <c r="S98" s="158"/>
      <c r="X98" s="158"/>
      <c r="Y98" s="158"/>
      <c r="Z98" s="158"/>
      <c r="AA98" s="158"/>
      <c r="AB98" s="158"/>
      <c r="AC98" s="158"/>
      <c r="AD98" s="158"/>
      <c r="AE98" s="158"/>
      <c r="AF98" s="158"/>
      <c r="AG98" s="158"/>
      <c r="AH98" s="158"/>
      <c r="AI98" s="158"/>
      <c r="AJ98" s="158"/>
      <c r="AK98" s="158">
        <v>8</v>
      </c>
      <c r="AL98" s="158" t="s">
        <v>207</v>
      </c>
      <c r="AM98" s="158" t="s">
        <v>208</v>
      </c>
    </row>
    <row r="99" spans="17:39" ht="12.75" hidden="1">
      <c r="Q99" s="158"/>
      <c r="R99" s="158"/>
      <c r="S99" s="158"/>
      <c r="X99" s="158" t="str">
        <f>TRIM(AD92&amp;" "&amp;AE92&amp;" "&amp;AF92&amp;" "&amp;AG92&amp;" "&amp;AH92&amp;" "&amp;AI92&amp;" "&amp;AJ92)</f>
        <v>One lakh</v>
      </c>
      <c r="Y99" s="158"/>
      <c r="Z99" s="158"/>
      <c r="AA99" s="158"/>
      <c r="AB99" s="158"/>
      <c r="AC99" s="158"/>
      <c r="AD99" s="158"/>
      <c r="AE99" s="158"/>
      <c r="AF99" s="158"/>
      <c r="AG99" s="158"/>
      <c r="AH99" s="158"/>
      <c r="AI99" s="158"/>
      <c r="AJ99" s="158"/>
      <c r="AK99" s="158">
        <v>9</v>
      </c>
      <c r="AL99" s="158" t="s">
        <v>209</v>
      </c>
      <c r="AM99" s="158" t="s">
        <v>210</v>
      </c>
    </row>
    <row r="100" spans="17:39" ht="12.75" hidden="1">
      <c r="Q100" s="158"/>
      <c r="R100" s="158"/>
      <c r="S100" s="158"/>
      <c r="X100" s="158" t="str">
        <f>TRIM(AD93&amp;" "&amp;AE93&amp;" "&amp;AF93&amp;" "&amp;AG93&amp;" "&amp;AH93&amp;" "&amp;AI93&amp;" "&amp;AJ93)</f>
        <v>Forty Six thousand</v>
      </c>
      <c r="Y100" s="158"/>
      <c r="Z100" s="158"/>
      <c r="AA100" s="158"/>
      <c r="AB100" s="158"/>
      <c r="AC100" s="158"/>
      <c r="AD100" s="158"/>
      <c r="AE100" s="158"/>
      <c r="AF100" s="158"/>
      <c r="AG100" s="158"/>
      <c r="AH100" s="158"/>
      <c r="AI100" s="158"/>
      <c r="AJ100" s="158"/>
      <c r="AK100" s="158">
        <v>10</v>
      </c>
      <c r="AL100" s="158" t="s">
        <v>211</v>
      </c>
      <c r="AM100" s="158"/>
    </row>
    <row r="101" spans="17:39" ht="12.75" hidden="1">
      <c r="Q101" s="158"/>
      <c r="R101" s="158"/>
      <c r="S101" s="158"/>
      <c r="X101" s="158" t="str">
        <f>TRIM(AD94&amp;" "&amp;AE94&amp;" "&amp;AF94&amp;" "&amp;AG94&amp;" "&amp;AH94&amp;" "&amp;AI94&amp;" "&amp;AJ94)</f>
        <v>Four hundred</v>
      </c>
      <c r="Y101" s="158"/>
      <c r="Z101" s="158"/>
      <c r="AA101" s="158"/>
      <c r="AB101" s="158"/>
      <c r="AC101" s="158"/>
      <c r="AD101" s="158"/>
      <c r="AE101" s="158"/>
      <c r="AF101" s="158"/>
      <c r="AG101" s="158"/>
      <c r="AH101" s="158"/>
      <c r="AI101" s="158"/>
      <c r="AJ101" s="158"/>
      <c r="AK101" s="158">
        <v>11</v>
      </c>
      <c r="AL101" s="158" t="s">
        <v>212</v>
      </c>
      <c r="AM101" s="158"/>
    </row>
    <row r="102" spans="17:39" ht="12.75" hidden="1">
      <c r="Q102" s="158"/>
      <c r="R102" s="158"/>
      <c r="S102" s="158"/>
      <c r="X102" s="158" t="str">
        <f>TRIM(AD95&amp;" "&amp;AE95&amp;" "&amp;AF95&amp;" "&amp;AG95&amp;" "&amp;AH95)</f>
        <v>Seventy Seven</v>
      </c>
      <c r="Y102" s="158"/>
      <c r="Z102" s="158"/>
      <c r="AA102" s="158"/>
      <c r="AB102" s="158"/>
      <c r="AC102" s="158"/>
      <c r="AD102" s="158"/>
      <c r="AE102" s="158"/>
      <c r="AF102" s="158"/>
      <c r="AG102" s="158"/>
      <c r="AH102" s="158"/>
      <c r="AI102" s="158"/>
      <c r="AJ102" s="158"/>
      <c r="AK102" s="158">
        <v>12</v>
      </c>
      <c r="AL102" s="158" t="s">
        <v>213</v>
      </c>
      <c r="AM102" s="158"/>
    </row>
    <row r="103" spans="17:39" ht="12.75" hidden="1">
      <c r="Q103" s="158"/>
      <c r="R103" s="158"/>
      <c r="S103" s="158"/>
      <c r="X103" s="158" t="str">
        <f>TRIM(X99&amp;" "&amp;X100&amp;" "&amp;X101&amp;" "&amp;X102)&amp;" only"</f>
        <v>One lakh Forty Six thousand Four hundred Seventy Seven only</v>
      </c>
      <c r="Y103" s="158"/>
      <c r="Z103" s="158"/>
      <c r="AA103" s="158"/>
      <c r="AB103" s="158"/>
      <c r="AC103" s="158"/>
      <c r="AD103" s="158"/>
      <c r="AE103" s="158"/>
      <c r="AF103" s="158"/>
      <c r="AG103" s="158"/>
      <c r="AH103" s="158"/>
      <c r="AI103" s="158"/>
      <c r="AJ103" s="158"/>
      <c r="AK103" s="158">
        <v>13</v>
      </c>
      <c r="AL103" s="158" t="s">
        <v>214</v>
      </c>
      <c r="AM103" s="158"/>
    </row>
    <row r="104" spans="17:39" ht="12.75" hidden="1">
      <c r="Q104" s="158"/>
      <c r="R104" s="158"/>
      <c r="S104" s="158"/>
      <c r="X104" s="158"/>
      <c r="Y104" s="158"/>
      <c r="Z104" s="158"/>
      <c r="AA104" s="158"/>
      <c r="AB104" s="158"/>
      <c r="AC104" s="158"/>
      <c r="AD104" s="158"/>
      <c r="AE104" s="158"/>
      <c r="AF104" s="158"/>
      <c r="AG104" s="158"/>
      <c r="AH104" s="158"/>
      <c r="AI104" s="158"/>
      <c r="AJ104" s="158"/>
      <c r="AK104" s="158">
        <v>14</v>
      </c>
      <c r="AL104" s="158" t="s">
        <v>215</v>
      </c>
      <c r="AM104" s="158"/>
    </row>
    <row r="105" spans="17:39" ht="12.75" hidden="1">
      <c r="Q105" s="158"/>
      <c r="R105" s="158"/>
      <c r="S105" s="158"/>
      <c r="X105" s="158"/>
      <c r="Y105" s="158"/>
      <c r="Z105" s="158"/>
      <c r="AA105" s="158"/>
      <c r="AB105" s="158"/>
      <c r="AC105" s="158"/>
      <c r="AD105" s="158"/>
      <c r="AE105" s="158"/>
      <c r="AF105" s="158"/>
      <c r="AG105" s="158"/>
      <c r="AH105" s="158"/>
      <c r="AI105" s="158"/>
      <c r="AJ105" s="158"/>
      <c r="AK105" s="158">
        <v>15</v>
      </c>
      <c r="AL105" s="158" t="s">
        <v>216</v>
      </c>
      <c r="AM105" s="158"/>
    </row>
    <row r="106" spans="17:39" ht="12.75" hidden="1">
      <c r="Q106" s="158"/>
      <c r="R106" s="158"/>
      <c r="S106" s="158"/>
      <c r="X106" s="158"/>
      <c r="Y106" s="158"/>
      <c r="Z106" s="158"/>
      <c r="AA106" s="158"/>
      <c r="AB106" s="158"/>
      <c r="AC106" s="158"/>
      <c r="AD106" s="158"/>
      <c r="AE106" s="158"/>
      <c r="AF106" s="158"/>
      <c r="AG106" s="158"/>
      <c r="AH106" s="158"/>
      <c r="AI106" s="158"/>
      <c r="AJ106" s="158"/>
      <c r="AK106" s="158">
        <v>16</v>
      </c>
      <c r="AL106" s="158" t="s">
        <v>217</v>
      </c>
      <c r="AM106" s="158"/>
    </row>
    <row r="107" spans="17:39" ht="12.75" hidden="1">
      <c r="Q107" s="158"/>
      <c r="R107" s="158"/>
      <c r="S107" s="158"/>
      <c r="X107" s="158"/>
      <c r="Y107" s="158"/>
      <c r="Z107" s="158"/>
      <c r="AA107" s="158"/>
      <c r="AB107" s="158"/>
      <c r="AC107" s="158"/>
      <c r="AD107" s="158"/>
      <c r="AE107" s="158"/>
      <c r="AF107" s="158"/>
      <c r="AG107" s="158"/>
      <c r="AH107" s="158"/>
      <c r="AI107" s="158"/>
      <c r="AJ107" s="158"/>
      <c r="AK107" s="158">
        <v>17</v>
      </c>
      <c r="AL107" s="158" t="s">
        <v>218</v>
      </c>
      <c r="AM107" s="158"/>
    </row>
    <row r="108" spans="17:39" ht="12.75" hidden="1">
      <c r="Q108" s="158"/>
      <c r="R108" s="158"/>
      <c r="S108" s="158"/>
      <c r="X108" s="158"/>
      <c r="Y108" s="158"/>
      <c r="Z108" s="158"/>
      <c r="AA108" s="158"/>
      <c r="AB108" s="158"/>
      <c r="AC108" s="158"/>
      <c r="AD108" s="158"/>
      <c r="AE108" s="158"/>
      <c r="AF108" s="158"/>
      <c r="AG108" s="158"/>
      <c r="AH108" s="158"/>
      <c r="AI108" s="158"/>
      <c r="AJ108" s="158"/>
      <c r="AK108" s="158">
        <v>18</v>
      </c>
      <c r="AL108" s="158" t="s">
        <v>219</v>
      </c>
      <c r="AM108" s="158"/>
    </row>
    <row r="109" spans="17:39" ht="12.75" hidden="1">
      <c r="Q109" s="158"/>
      <c r="R109" s="158"/>
      <c r="S109" s="158"/>
      <c r="X109" s="158"/>
      <c r="Y109" s="158"/>
      <c r="Z109" s="158"/>
      <c r="AA109" s="158"/>
      <c r="AB109" s="158"/>
      <c r="AC109" s="158"/>
      <c r="AD109" s="158"/>
      <c r="AE109" s="158"/>
      <c r="AF109" s="158"/>
      <c r="AG109" s="158"/>
      <c r="AH109" s="158"/>
      <c r="AI109" s="158"/>
      <c r="AJ109" s="158"/>
      <c r="AK109" s="158">
        <v>19</v>
      </c>
      <c r="AL109" s="158" t="s">
        <v>220</v>
      </c>
      <c r="AM109" s="158"/>
    </row>
    <row r="110" spans="17:39" ht="12.75" hidden="1">
      <c r="Q110" s="158"/>
      <c r="R110" s="158"/>
      <c r="S110" s="158"/>
      <c r="X110" s="158"/>
      <c r="Y110" s="158"/>
      <c r="Z110" s="158"/>
      <c r="AA110" s="158"/>
      <c r="AB110" s="158"/>
      <c r="AC110" s="158"/>
      <c r="AD110" s="158"/>
      <c r="AE110" s="158"/>
      <c r="AF110" s="158"/>
      <c r="AG110" s="158"/>
      <c r="AH110" s="158"/>
      <c r="AI110" s="158"/>
      <c r="AJ110" s="158"/>
      <c r="AK110" s="158">
        <v>20</v>
      </c>
      <c r="AL110" s="158" t="s">
        <v>196</v>
      </c>
      <c r="AM110" s="158"/>
    </row>
    <row r="111" spans="17:39" ht="12.75" hidden="1">
      <c r="Q111" s="158"/>
      <c r="R111" s="158"/>
      <c r="S111" s="158"/>
      <c r="X111" s="158"/>
      <c r="Y111" s="158"/>
      <c r="Z111" s="158"/>
      <c r="AA111" s="158"/>
      <c r="AB111" s="158"/>
      <c r="AC111" s="158"/>
      <c r="AD111" s="158"/>
      <c r="AE111" s="158"/>
      <c r="AF111" s="158"/>
      <c r="AG111" s="158"/>
      <c r="AH111" s="158"/>
      <c r="AI111" s="158"/>
      <c r="AJ111" s="158"/>
      <c r="AK111" s="158">
        <v>30</v>
      </c>
      <c r="AL111" s="158" t="s">
        <v>198</v>
      </c>
      <c r="AM111" s="158"/>
    </row>
    <row r="112" spans="17:39" ht="12.75" hidden="1">
      <c r="Q112" s="158"/>
      <c r="R112" s="158"/>
      <c r="S112" s="158"/>
      <c r="X112" s="158"/>
      <c r="Y112" s="158"/>
      <c r="Z112" s="158"/>
      <c r="AA112" s="158"/>
      <c r="AB112" s="158"/>
      <c r="AC112" s="158"/>
      <c r="AD112" s="158"/>
      <c r="AE112" s="158"/>
      <c r="AF112" s="158"/>
      <c r="AG112" s="158"/>
      <c r="AH112" s="158"/>
      <c r="AI112" s="158"/>
      <c r="AJ112" s="158"/>
      <c r="AK112" s="158">
        <v>40</v>
      </c>
      <c r="AL112" s="158" t="s">
        <v>200</v>
      </c>
      <c r="AM112" s="158"/>
    </row>
    <row r="113" spans="17:39" ht="12.75" hidden="1">
      <c r="Q113" s="158"/>
      <c r="R113" s="158"/>
      <c r="S113" s="158"/>
      <c r="X113" s="158"/>
      <c r="Y113" s="158"/>
      <c r="Z113" s="158"/>
      <c r="AA113" s="158"/>
      <c r="AB113" s="158"/>
      <c r="AC113" s="158"/>
      <c r="AD113" s="158"/>
      <c r="AE113" s="158"/>
      <c r="AF113" s="158"/>
      <c r="AG113" s="158"/>
      <c r="AH113" s="158"/>
      <c r="AI113" s="158"/>
      <c r="AJ113" s="158"/>
      <c r="AK113" s="158">
        <v>50</v>
      </c>
      <c r="AL113" s="158" t="s">
        <v>202</v>
      </c>
      <c r="AM113" s="158"/>
    </row>
    <row r="114" spans="17:39" ht="12.75" hidden="1">
      <c r="Q114" s="158"/>
      <c r="R114" s="158"/>
      <c r="S114" s="158"/>
      <c r="X114" s="158"/>
      <c r="Y114" s="158"/>
      <c r="Z114" s="158"/>
      <c r="AA114" s="158"/>
      <c r="AB114" s="158"/>
      <c r="AC114" s="158"/>
      <c r="AD114" s="158"/>
      <c r="AE114" s="158"/>
      <c r="AF114" s="158"/>
      <c r="AG114" s="158"/>
      <c r="AH114" s="158"/>
      <c r="AI114" s="158"/>
      <c r="AJ114" s="158"/>
      <c r="AK114" s="158">
        <v>60</v>
      </c>
      <c r="AL114" s="158" t="s">
        <v>204</v>
      </c>
      <c r="AM114" s="158"/>
    </row>
    <row r="115" spans="17:39" ht="12.75" hidden="1">
      <c r="Q115" s="158"/>
      <c r="R115" s="158"/>
      <c r="S115" s="158"/>
      <c r="X115" s="158"/>
      <c r="Y115" s="158"/>
      <c r="Z115" s="158"/>
      <c r="AA115" s="158"/>
      <c r="AB115" s="158"/>
      <c r="AC115" s="158"/>
      <c r="AD115" s="158"/>
      <c r="AE115" s="158"/>
      <c r="AF115" s="158"/>
      <c r="AG115" s="158"/>
      <c r="AH115" s="158"/>
      <c r="AI115" s="158"/>
      <c r="AJ115" s="158"/>
      <c r="AK115" s="158">
        <v>70</v>
      </c>
      <c r="AL115" s="158" t="s">
        <v>206</v>
      </c>
      <c r="AM115" s="158"/>
    </row>
    <row r="116" spans="17:39" ht="12.75" hidden="1">
      <c r="Q116" s="158"/>
      <c r="R116" s="158"/>
      <c r="S116" s="158"/>
      <c r="X116" s="158"/>
      <c r="Y116" s="158"/>
      <c r="Z116" s="158"/>
      <c r="AA116" s="158"/>
      <c r="AB116" s="158"/>
      <c r="AC116" s="158"/>
      <c r="AD116" s="158"/>
      <c r="AE116" s="158"/>
      <c r="AF116" s="158"/>
      <c r="AG116" s="158"/>
      <c r="AH116" s="158"/>
      <c r="AI116" s="158"/>
      <c r="AJ116" s="158"/>
      <c r="AK116" s="158">
        <v>80</v>
      </c>
      <c r="AL116" s="158" t="s">
        <v>208</v>
      </c>
      <c r="AM116" s="158"/>
    </row>
    <row r="117" spans="17:39" ht="12.75" hidden="1">
      <c r="Q117" s="158"/>
      <c r="R117" s="158"/>
      <c r="S117" s="158"/>
      <c r="X117" s="158"/>
      <c r="Y117" s="158"/>
      <c r="Z117" s="158"/>
      <c r="AA117" s="158"/>
      <c r="AB117" s="158"/>
      <c r="AC117" s="158"/>
      <c r="AD117" s="158"/>
      <c r="AE117" s="158"/>
      <c r="AF117" s="158"/>
      <c r="AG117" s="158"/>
      <c r="AH117" s="158"/>
      <c r="AI117" s="158"/>
      <c r="AJ117" s="158"/>
      <c r="AK117" s="158">
        <v>90</v>
      </c>
      <c r="AL117" s="158" t="s">
        <v>210</v>
      </c>
      <c r="AM117" s="158"/>
    </row>
    <row r="118" spans="17:39" ht="12.75" hidden="1">
      <c r="Q118" s="158"/>
      <c r="R118" s="158"/>
      <c r="S118" s="158"/>
      <c r="X118" s="158"/>
      <c r="Y118" s="158"/>
      <c r="Z118" s="158"/>
      <c r="AA118" s="158"/>
      <c r="AB118" s="158"/>
      <c r="AC118" s="158"/>
      <c r="AD118" s="158"/>
      <c r="AE118" s="158"/>
      <c r="AF118" s="158"/>
      <c r="AG118" s="158"/>
      <c r="AH118" s="158"/>
      <c r="AI118" s="158"/>
      <c r="AJ118" s="158"/>
      <c r="AK118" s="158"/>
      <c r="AL118" s="158"/>
      <c r="AM118" s="158"/>
    </row>
    <row r="119" spans="17:39" ht="12.75" hidden="1">
      <c r="Q119" s="158"/>
      <c r="R119" s="158"/>
      <c r="S119" s="158"/>
      <c r="X119" s="159">
        <f>H42+1</f>
        <v>146478</v>
      </c>
      <c r="Y119" s="158">
        <f>(X119-X122)/1000</f>
        <v>146</v>
      </c>
      <c r="Z119" s="158"/>
      <c r="AA119" s="158"/>
      <c r="AB119" s="158"/>
      <c r="AC119" s="158"/>
      <c r="AD119" s="158"/>
      <c r="AE119" s="158"/>
      <c r="AF119" s="158"/>
      <c r="AG119" s="158"/>
      <c r="AH119" s="158"/>
      <c r="AI119" s="158"/>
      <c r="AJ119" s="158"/>
      <c r="AK119" s="158">
        <v>1</v>
      </c>
      <c r="AL119" s="158" t="s">
        <v>194</v>
      </c>
      <c r="AM119" s="158"/>
    </row>
    <row r="120" spans="17:39" ht="12.75" hidden="1">
      <c r="Q120" s="158"/>
      <c r="R120" s="158"/>
      <c r="S120" s="158"/>
      <c r="X120" s="158">
        <f>(Y119-X121)/100</f>
        <v>1</v>
      </c>
      <c r="Y120" s="158">
        <f>X120</f>
        <v>1</v>
      </c>
      <c r="Z120" s="158">
        <f>RIGHT(Y120,2)*1</f>
        <v>1</v>
      </c>
      <c r="AA120" s="158">
        <f>(Y120-Z120)/100</f>
        <v>0</v>
      </c>
      <c r="AB120" s="158">
        <f>(Z120-RIGHT(Z120,1)*1)/10</f>
        <v>0</v>
      </c>
      <c r="AC120" s="158">
        <f>RIGHT(Y120,1)*1</f>
        <v>1</v>
      </c>
      <c r="AD120" s="158" t="str">
        <f>IF(AB120=AK120,AM120,IF(AB120=AK121,AM121,IF(AB120=AK122,AM122,IF(AB120=AK123,AM123,IF(AB120=AK124,AM124,IF(AB120=AK125,AM125,IF(AB120=AK126,AM126,IF(AB120=AK127,AM127," "))))))))</f>
        <v> </v>
      </c>
      <c r="AE120" s="158" t="str">
        <f>IF(AB120=1," ",IF(AC120=AK119,AL119,IF(AC120=AK120,AL120,IF(AC120=AK121,AL121,IF(AC120=AK122,AL122,IF(AC120=AK123,AL123,IF(AC120=AK124,AL124," ")))))))</f>
        <v>One</v>
      </c>
      <c r="AF120" s="158" t="str">
        <f>IF(AB120=1," ",IF(AC120=AK125,AL125,IF(AC120=AK126,AL126,IF(AC120=AK127,AL127," "))))</f>
        <v> </v>
      </c>
      <c r="AG120" s="158" t="str">
        <f>IF(AB120=0," ",IF(AB120&gt;1," ",IF(AC120=AK120,AL130,IF(AC120=AK121,AL131,IF(AC120=AK122,AL132,IF(AC120=AK123,AL133,IF(AC120=AK124,AL134,IF(AC120=AK125,AL135," "))))))))</f>
        <v> </v>
      </c>
      <c r="AH120" s="158" t="str">
        <f>IF(AB120=0," ",IF(AB120&gt;1," ",IF(AC120=AK126,AL136,IF(AC120=AK127,AL137,IF(AC120=AK119,AL129,IF(AC120=0,AL128," "))))))</f>
        <v> </v>
      </c>
      <c r="AI120" s="158" t="str">
        <f>IF(AB120=0," ","lakh")</f>
        <v> </v>
      </c>
      <c r="AJ120" s="158" t="str">
        <f>IF(AC120=0," ",IF(AB120&gt;0," ","lakh"))</f>
        <v>lakh</v>
      </c>
      <c r="AK120" s="158">
        <v>2</v>
      </c>
      <c r="AL120" s="158" t="s">
        <v>195</v>
      </c>
      <c r="AM120" s="158" t="s">
        <v>196</v>
      </c>
    </row>
    <row r="121" spans="17:39" ht="12.75" hidden="1">
      <c r="Q121" s="158"/>
      <c r="R121" s="158"/>
      <c r="S121" s="158"/>
      <c r="X121" s="158">
        <f>RIGHT(Y119,2)*1</f>
        <v>46</v>
      </c>
      <c r="Y121" s="158">
        <f>X121</f>
        <v>46</v>
      </c>
      <c r="Z121" s="158">
        <f>RIGHT(Y121,2)*1</f>
        <v>46</v>
      </c>
      <c r="AA121" s="158">
        <f>(Y121-Z121)/100</f>
        <v>0</v>
      </c>
      <c r="AB121" s="158">
        <f>(Z121-RIGHT(Z121,1)*1)/10</f>
        <v>4</v>
      </c>
      <c r="AC121" s="158">
        <f>RIGHT(Y121,1)*1</f>
        <v>6</v>
      </c>
      <c r="AD121" s="158" t="str">
        <f>IF(AB121=AK120,AM120,IF(AB121=AK121,AM121,IF(AB121=AK122,AM122,IF(AB121=AK123,AM123,IF(AB121=AK124,AM124,IF(AB121=AK125,AM125,IF(AB121=AK126,AM126,IF(AB121=AK127,AM127," "))))))))</f>
        <v>Forty </v>
      </c>
      <c r="AE121" s="158" t="str">
        <f>IF(AB121=1," ",IF(AC121=AK119,AL119,IF(AC121=AK120,AL120,IF(AC121=AK121,AL121,IF(AC121=AK122,AL122,IF(AC121=AK123,AL123,IF(AC121=AK124,AL124," ")))))))</f>
        <v>Six</v>
      </c>
      <c r="AF121" s="158" t="str">
        <f>IF(AB121=1," ",IF(AC121=AK125,AL125,IF(AC121=AK126,AL126,IF(AC121=AK127,AL127," "))))</f>
        <v> </v>
      </c>
      <c r="AG121" s="158" t="str">
        <f>IF(AB121=0," ",IF(AB121&gt;1," ",IF(AC121=AK120,AL130,IF(AC121=AK121,AL131,IF(AC121=AK122,AL132,IF(AC121=AK123,AL133,IF(AC121=AK124,AL134,IF(AC121=AK125,AL135," "))))))))</f>
        <v> </v>
      </c>
      <c r="AH121" s="158" t="str">
        <f>IF(AB121=0," ",IF(AB121&gt;1," ",IF(AC121=AK126,AL136,IF(AC121=AK127,AL137,IF(AC121=AK119,AL129,IF(AC121=0,AL128," "))))))</f>
        <v> </v>
      </c>
      <c r="AI121" s="158" t="str">
        <f>IF(AB121=0," ","thousand")</f>
        <v>thousand</v>
      </c>
      <c r="AJ121" s="158" t="str">
        <f>IF(AC121=0," ",IF(AB121&gt;0," ","thousand"))</f>
        <v> </v>
      </c>
      <c r="AK121" s="158">
        <v>3</v>
      </c>
      <c r="AL121" s="158" t="s">
        <v>197</v>
      </c>
      <c r="AM121" s="158" t="s">
        <v>198</v>
      </c>
    </row>
    <row r="122" spans="17:39" ht="12.75" hidden="1">
      <c r="Q122" s="158"/>
      <c r="R122" s="158"/>
      <c r="S122" s="158"/>
      <c r="X122" s="158">
        <f>RIGHT(X119,3)*1</f>
        <v>478</v>
      </c>
      <c r="Y122" s="158">
        <f>X122</f>
        <v>478</v>
      </c>
      <c r="Z122" s="158">
        <f>ROUND((Y122-AA123)/100,0)</f>
        <v>4</v>
      </c>
      <c r="AA122" s="158"/>
      <c r="AB122" s="158"/>
      <c r="AC122" s="158"/>
      <c r="AD122" s="158"/>
      <c r="AE122" s="158" t="str">
        <f>IF(Z122=0," ",IF(Z122=AK119,AL119,IF(Z122=AK120,AL120,IF(Z122=AK121,AL121,IF(Z122=AK122,AL122,IF(Z122=AK123,AL123,IF(Z122=AK124,AL124," ")))))))</f>
        <v>Four</v>
      </c>
      <c r="AF122" s="158" t="str">
        <f>IF(Z122=0," ",IF(Z122=AK125,AL125,IF(Z122=AK126,AL126,IF(Z122=AK127,AL127," "))))</f>
        <v> </v>
      </c>
      <c r="AG122" s="158"/>
      <c r="AH122" s="158"/>
      <c r="AI122" s="158" t="str">
        <f>IF(Z122=0," ","hundred")</f>
        <v>hundred</v>
      </c>
      <c r="AJ122" s="158"/>
      <c r="AK122" s="158">
        <v>4</v>
      </c>
      <c r="AL122" s="158" t="s">
        <v>199</v>
      </c>
      <c r="AM122" s="158" t="s">
        <v>200</v>
      </c>
    </row>
    <row r="123" spans="17:39" ht="12.75" hidden="1">
      <c r="Q123" s="158"/>
      <c r="R123" s="158"/>
      <c r="S123" s="158"/>
      <c r="X123" s="158"/>
      <c r="Y123" s="158"/>
      <c r="Z123" s="158"/>
      <c r="AA123" s="158">
        <f>RIGHT(Y122,2)*1</f>
        <v>78</v>
      </c>
      <c r="AB123" s="158">
        <f>(AA123-RIGHT(AA123,1)*1)/10</f>
        <v>7</v>
      </c>
      <c r="AC123" s="158">
        <f>RIGHT(Y122,1)*1</f>
        <v>8</v>
      </c>
      <c r="AD123" s="158" t="str">
        <f>IF(AB123=AK120,AM120,IF(AB123=AK121,AM121,IF(AB123=AK122,AM122,IF(AB123=AK123,AM123,IF(AB123=AK124,AM124,IF(AB123=AK125,AM125,IF(AB123=AK126,AM126,IF(AB123=AK127,AM127," "))))))))</f>
        <v>Seventy </v>
      </c>
      <c r="AE123" s="158" t="str">
        <f>IF(AB123=1," ",IF(AC123=AK119,AL119,IF(AC123=AK120,AL120,IF(AC123=AK121,AL121,IF(AC123=AK122,AL122,IF(AC123=AK123,AL123,IF(AC123=AK124,AL124," ")))))))</f>
        <v> </v>
      </c>
      <c r="AF123" s="158" t="str">
        <f>IF(AB123=1," ",IF(AC123=AK125,AL125,IF(AC123=AK126,AL126,IF(AC123=AK127,AL127," "))))</f>
        <v>Eight</v>
      </c>
      <c r="AG123" s="158" t="str">
        <f>IF(AB123=0," ",IF(AB123&gt;1," ",IF(AC123=AK120,AL130,IF(AC123=AK121,AL131,IF(AC123=AK122,AL132,IF(AC123=AK123,AL133,IF(AC123=AL134,AL124,IF(AC123=AK125,AL135," "))))))))</f>
        <v> </v>
      </c>
      <c r="AH123" s="158" t="str">
        <f>IF(AB123=0," ",IF(AB123&gt;1," ",IF(AC123=AK126,AL136,IF(AC123=AK127,AL137,IF(AC123=AK119,AL129,IF(AC123=0,AL128," "))))))</f>
        <v> </v>
      </c>
      <c r="AI123" s="158"/>
      <c r="AJ123" s="158"/>
      <c r="AK123" s="158">
        <v>5</v>
      </c>
      <c r="AL123" s="158" t="s">
        <v>201</v>
      </c>
      <c r="AM123" s="158" t="s">
        <v>202</v>
      </c>
    </row>
    <row r="124" spans="17:39" ht="12.75" hidden="1">
      <c r="Q124" s="158"/>
      <c r="R124" s="158"/>
      <c r="S124" s="158"/>
      <c r="X124" s="158"/>
      <c r="Y124" s="158"/>
      <c r="Z124" s="158"/>
      <c r="AA124" s="158"/>
      <c r="AB124" s="158">
        <f>AB123</f>
        <v>7</v>
      </c>
      <c r="AC124" s="158">
        <f>AC123</f>
        <v>8</v>
      </c>
      <c r="AD124" s="158"/>
      <c r="AE124" s="158"/>
      <c r="AF124" s="158"/>
      <c r="AG124" s="158"/>
      <c r="AH124" s="158"/>
      <c r="AI124" s="158"/>
      <c r="AJ124" s="158"/>
      <c r="AK124" s="158">
        <v>6</v>
      </c>
      <c r="AL124" s="158" t="s">
        <v>203</v>
      </c>
      <c r="AM124" s="158" t="s">
        <v>204</v>
      </c>
    </row>
    <row r="125" spans="17:39" ht="12.75" hidden="1">
      <c r="Q125" s="158"/>
      <c r="R125" s="158"/>
      <c r="S125" s="158"/>
      <c r="X125" s="158"/>
      <c r="Y125" s="158"/>
      <c r="Z125" s="158"/>
      <c r="AA125" s="158"/>
      <c r="AB125" s="158"/>
      <c r="AC125" s="158"/>
      <c r="AD125" s="158"/>
      <c r="AE125" s="158"/>
      <c r="AF125" s="158"/>
      <c r="AG125" s="158"/>
      <c r="AH125" s="158"/>
      <c r="AI125" s="158"/>
      <c r="AJ125" s="158"/>
      <c r="AK125" s="158">
        <v>7</v>
      </c>
      <c r="AL125" s="158" t="s">
        <v>205</v>
      </c>
      <c r="AM125" s="158" t="s">
        <v>206</v>
      </c>
    </row>
    <row r="126" spans="17:39" ht="12.75" hidden="1">
      <c r="Q126" s="158"/>
      <c r="R126" s="158"/>
      <c r="S126" s="158"/>
      <c r="X126" s="158"/>
      <c r="Y126" s="158"/>
      <c r="Z126" s="158"/>
      <c r="AA126" s="158"/>
      <c r="AB126" s="158"/>
      <c r="AC126" s="158"/>
      <c r="AD126" s="158"/>
      <c r="AE126" s="158"/>
      <c r="AF126" s="158"/>
      <c r="AG126" s="158"/>
      <c r="AH126" s="158"/>
      <c r="AI126" s="158"/>
      <c r="AJ126" s="158"/>
      <c r="AK126" s="158">
        <v>8</v>
      </c>
      <c r="AL126" s="158" t="s">
        <v>207</v>
      </c>
      <c r="AM126" s="158" t="s">
        <v>208</v>
      </c>
    </row>
    <row r="127" spans="17:39" ht="12.75" hidden="1">
      <c r="Q127" s="158"/>
      <c r="R127" s="158"/>
      <c r="S127" s="158"/>
      <c r="X127" s="158" t="str">
        <f>TRIM(AD120&amp;" "&amp;AE120&amp;" "&amp;AF120&amp;" "&amp;AG120&amp;" "&amp;AH120&amp;" "&amp;AI120&amp;" "&amp;AJ120)</f>
        <v>One lakh</v>
      </c>
      <c r="Y127" s="158"/>
      <c r="Z127" s="158"/>
      <c r="AA127" s="158"/>
      <c r="AB127" s="158"/>
      <c r="AC127" s="158"/>
      <c r="AD127" s="158"/>
      <c r="AE127" s="158"/>
      <c r="AF127" s="158"/>
      <c r="AG127" s="158"/>
      <c r="AH127" s="158"/>
      <c r="AI127" s="158"/>
      <c r="AJ127" s="158"/>
      <c r="AK127" s="158">
        <v>9</v>
      </c>
      <c r="AL127" s="158" t="s">
        <v>209</v>
      </c>
      <c r="AM127" s="158" t="s">
        <v>210</v>
      </c>
    </row>
    <row r="128" spans="17:39" ht="12.75" hidden="1">
      <c r="Q128" s="158"/>
      <c r="R128" s="158"/>
      <c r="S128" s="158"/>
      <c r="X128" s="158" t="str">
        <f>TRIM(AD121&amp;" "&amp;AE121&amp;" "&amp;AF121&amp;" "&amp;AG121&amp;" "&amp;AH121&amp;" "&amp;AI121&amp;" "&amp;AJ121)</f>
        <v>Forty Six thousand</v>
      </c>
      <c r="Y128" s="158"/>
      <c r="Z128" s="158"/>
      <c r="AA128" s="158"/>
      <c r="AB128" s="158"/>
      <c r="AC128" s="158"/>
      <c r="AD128" s="158"/>
      <c r="AE128" s="158"/>
      <c r="AF128" s="158"/>
      <c r="AG128" s="158"/>
      <c r="AH128" s="158"/>
      <c r="AI128" s="158"/>
      <c r="AJ128" s="158"/>
      <c r="AK128" s="158">
        <v>10</v>
      </c>
      <c r="AL128" s="158" t="s">
        <v>211</v>
      </c>
      <c r="AM128" s="158"/>
    </row>
    <row r="129" spans="17:39" ht="12.75" hidden="1">
      <c r="Q129" s="158"/>
      <c r="R129" s="158"/>
      <c r="S129" s="158"/>
      <c r="X129" s="158" t="str">
        <f>TRIM(AD122&amp;" "&amp;AE122&amp;" "&amp;AF122&amp;" "&amp;AG122&amp;" "&amp;AH122&amp;" "&amp;AI122&amp;" "&amp;AJ122)</f>
        <v>Four hundred</v>
      </c>
      <c r="Y129" s="158"/>
      <c r="Z129" s="158"/>
      <c r="AA129" s="158"/>
      <c r="AB129" s="158"/>
      <c r="AC129" s="158"/>
      <c r="AD129" s="158"/>
      <c r="AE129" s="158"/>
      <c r="AF129" s="158"/>
      <c r="AG129" s="158"/>
      <c r="AH129" s="158"/>
      <c r="AI129" s="158"/>
      <c r="AJ129" s="158"/>
      <c r="AK129" s="158">
        <v>11</v>
      </c>
      <c r="AL129" s="158" t="s">
        <v>212</v>
      </c>
      <c r="AM129" s="158"/>
    </row>
    <row r="130" spans="17:39" ht="12.75" hidden="1">
      <c r="Q130" s="158"/>
      <c r="R130" s="158"/>
      <c r="S130" s="158"/>
      <c r="X130" s="158" t="str">
        <f>TRIM(AD123&amp;" "&amp;AE123&amp;" "&amp;AF123&amp;" "&amp;AG123&amp;" "&amp;AH123)</f>
        <v>Seventy Eight</v>
      </c>
      <c r="Y130" s="158"/>
      <c r="Z130" s="158"/>
      <c r="AA130" s="158"/>
      <c r="AB130" s="158"/>
      <c r="AC130" s="158"/>
      <c r="AD130" s="158"/>
      <c r="AE130" s="158"/>
      <c r="AF130" s="158"/>
      <c r="AG130" s="158"/>
      <c r="AH130" s="158"/>
      <c r="AI130" s="158"/>
      <c r="AJ130" s="158"/>
      <c r="AK130" s="158">
        <v>12</v>
      </c>
      <c r="AL130" s="158" t="s">
        <v>213</v>
      </c>
      <c r="AM130" s="158"/>
    </row>
    <row r="131" spans="17:39" ht="12.75" hidden="1">
      <c r="Q131" s="158"/>
      <c r="R131" s="158"/>
      <c r="S131" s="158"/>
      <c r="X131" s="158" t="str">
        <f>TRIM(X127&amp;" "&amp;X128&amp;" "&amp;X129&amp;" "&amp;X130)&amp;" only"</f>
        <v>One lakh Forty Six thousand Four hundred Seventy Eight only</v>
      </c>
      <c r="Y131" s="158"/>
      <c r="Z131" s="158"/>
      <c r="AA131" s="158"/>
      <c r="AB131" s="158"/>
      <c r="AC131" s="158"/>
      <c r="AD131" s="158"/>
      <c r="AE131" s="158"/>
      <c r="AF131" s="158"/>
      <c r="AG131" s="158"/>
      <c r="AH131" s="158"/>
      <c r="AI131" s="158"/>
      <c r="AJ131" s="158"/>
      <c r="AK131" s="158">
        <v>13</v>
      </c>
      <c r="AL131" s="158" t="s">
        <v>214</v>
      </c>
      <c r="AM131" s="158"/>
    </row>
    <row r="132" spans="17:39" ht="12.75" hidden="1">
      <c r="Q132" s="158"/>
      <c r="R132" s="158"/>
      <c r="S132" s="158"/>
      <c r="X132" s="158"/>
      <c r="Y132" s="158"/>
      <c r="Z132" s="158"/>
      <c r="AA132" s="158"/>
      <c r="AB132" s="158"/>
      <c r="AC132" s="158"/>
      <c r="AD132" s="158"/>
      <c r="AE132" s="158"/>
      <c r="AF132" s="158"/>
      <c r="AG132" s="158"/>
      <c r="AH132" s="158"/>
      <c r="AI132" s="158"/>
      <c r="AJ132" s="158"/>
      <c r="AK132" s="158">
        <v>14</v>
      </c>
      <c r="AL132" s="158" t="s">
        <v>215</v>
      </c>
      <c r="AM132" s="158"/>
    </row>
    <row r="133" spans="17:39" ht="12.75" hidden="1">
      <c r="Q133" s="158"/>
      <c r="R133" s="158"/>
      <c r="S133" s="158"/>
      <c r="X133" s="158"/>
      <c r="Y133" s="158"/>
      <c r="Z133" s="158"/>
      <c r="AA133" s="158"/>
      <c r="AB133" s="158"/>
      <c r="AC133" s="158"/>
      <c r="AD133" s="158"/>
      <c r="AE133" s="158"/>
      <c r="AF133" s="158"/>
      <c r="AG133" s="158"/>
      <c r="AH133" s="158"/>
      <c r="AI133" s="158"/>
      <c r="AJ133" s="158"/>
      <c r="AK133" s="158">
        <v>15</v>
      </c>
      <c r="AL133" s="158" t="s">
        <v>216</v>
      </c>
      <c r="AM133" s="158"/>
    </row>
    <row r="134" spans="17:39" ht="12.75" hidden="1">
      <c r="Q134" s="158"/>
      <c r="R134" s="158"/>
      <c r="S134" s="158"/>
      <c r="X134" s="158"/>
      <c r="Y134" s="158"/>
      <c r="Z134" s="158"/>
      <c r="AA134" s="158"/>
      <c r="AB134" s="158"/>
      <c r="AC134" s="158"/>
      <c r="AD134" s="158"/>
      <c r="AE134" s="158"/>
      <c r="AF134" s="158"/>
      <c r="AG134" s="158"/>
      <c r="AH134" s="158"/>
      <c r="AI134" s="158"/>
      <c r="AJ134" s="158"/>
      <c r="AK134" s="158">
        <v>16</v>
      </c>
      <c r="AL134" s="158" t="s">
        <v>217</v>
      </c>
      <c r="AM134" s="158"/>
    </row>
    <row r="135" spans="17:39" ht="12.75" hidden="1">
      <c r="Q135" s="158"/>
      <c r="R135" s="158"/>
      <c r="S135" s="158"/>
      <c r="X135" s="158"/>
      <c r="Y135" s="158"/>
      <c r="Z135" s="158"/>
      <c r="AA135" s="158"/>
      <c r="AB135" s="158"/>
      <c r="AC135" s="158"/>
      <c r="AD135" s="158"/>
      <c r="AE135" s="158"/>
      <c r="AF135" s="158"/>
      <c r="AG135" s="158"/>
      <c r="AH135" s="158"/>
      <c r="AI135" s="158"/>
      <c r="AJ135" s="158"/>
      <c r="AK135" s="158">
        <v>17</v>
      </c>
      <c r="AL135" s="158" t="s">
        <v>218</v>
      </c>
      <c r="AM135" s="158"/>
    </row>
    <row r="136" spans="17:39" ht="12.75" hidden="1">
      <c r="Q136" s="158"/>
      <c r="R136" s="158"/>
      <c r="S136" s="158"/>
      <c r="X136" s="158"/>
      <c r="Y136" s="158"/>
      <c r="Z136" s="158"/>
      <c r="AA136" s="158"/>
      <c r="AB136" s="158"/>
      <c r="AC136" s="158"/>
      <c r="AD136" s="158"/>
      <c r="AE136" s="158"/>
      <c r="AF136" s="158"/>
      <c r="AG136" s="158"/>
      <c r="AH136" s="158"/>
      <c r="AI136" s="158"/>
      <c r="AJ136" s="158"/>
      <c r="AK136" s="158">
        <v>18</v>
      </c>
      <c r="AL136" s="158" t="s">
        <v>219</v>
      </c>
      <c r="AM136" s="158"/>
    </row>
    <row r="137" spans="17:39" ht="12.75" hidden="1">
      <c r="Q137" s="158"/>
      <c r="R137" s="158"/>
      <c r="S137" s="158"/>
      <c r="X137" s="158"/>
      <c r="Y137" s="158"/>
      <c r="Z137" s="158"/>
      <c r="AA137" s="158"/>
      <c r="AB137" s="158"/>
      <c r="AC137" s="158"/>
      <c r="AD137" s="158"/>
      <c r="AE137" s="158"/>
      <c r="AF137" s="158"/>
      <c r="AG137" s="158"/>
      <c r="AH137" s="158"/>
      <c r="AI137" s="158"/>
      <c r="AJ137" s="158"/>
      <c r="AK137" s="158">
        <v>19</v>
      </c>
      <c r="AL137" s="158" t="s">
        <v>220</v>
      </c>
      <c r="AM137" s="158"/>
    </row>
    <row r="138" spans="17:39" ht="12.75" hidden="1">
      <c r="Q138" s="158"/>
      <c r="R138" s="158"/>
      <c r="S138" s="158"/>
      <c r="X138" s="158"/>
      <c r="Y138" s="158"/>
      <c r="Z138" s="158"/>
      <c r="AA138" s="158"/>
      <c r="AB138" s="158"/>
      <c r="AC138" s="158"/>
      <c r="AD138" s="158"/>
      <c r="AE138" s="158"/>
      <c r="AF138" s="158"/>
      <c r="AG138" s="158"/>
      <c r="AH138" s="158"/>
      <c r="AI138" s="158"/>
      <c r="AJ138" s="158"/>
      <c r="AK138" s="158">
        <v>20</v>
      </c>
      <c r="AL138" s="158" t="s">
        <v>196</v>
      </c>
      <c r="AM138" s="158"/>
    </row>
    <row r="139" spans="17:39" ht="12.75" hidden="1">
      <c r="Q139" s="158"/>
      <c r="R139" s="158"/>
      <c r="S139" s="158"/>
      <c r="X139" s="158"/>
      <c r="Y139" s="158"/>
      <c r="Z139" s="158"/>
      <c r="AA139" s="158"/>
      <c r="AB139" s="158"/>
      <c r="AC139" s="158"/>
      <c r="AD139" s="158"/>
      <c r="AE139" s="158"/>
      <c r="AF139" s="158"/>
      <c r="AG139" s="158"/>
      <c r="AH139" s="158"/>
      <c r="AI139" s="158"/>
      <c r="AJ139" s="158"/>
      <c r="AK139" s="158">
        <v>30</v>
      </c>
      <c r="AL139" s="158" t="s">
        <v>198</v>
      </c>
      <c r="AM139" s="158"/>
    </row>
    <row r="140" spans="24:39" ht="12.75" hidden="1">
      <c r="X140" s="158"/>
      <c r="Y140" s="158"/>
      <c r="Z140" s="158"/>
      <c r="AA140" s="158"/>
      <c r="AB140" s="158"/>
      <c r="AC140" s="158"/>
      <c r="AD140" s="158"/>
      <c r="AE140" s="158"/>
      <c r="AF140" s="158"/>
      <c r="AG140" s="158"/>
      <c r="AH140" s="158"/>
      <c r="AI140" s="158"/>
      <c r="AJ140" s="158"/>
      <c r="AK140" s="158">
        <v>40</v>
      </c>
      <c r="AL140" s="158" t="s">
        <v>200</v>
      </c>
      <c r="AM140" s="158"/>
    </row>
    <row r="141" spans="24:39" ht="12.75" hidden="1">
      <c r="X141" s="158"/>
      <c r="Y141" s="158"/>
      <c r="Z141" s="158"/>
      <c r="AA141" s="158"/>
      <c r="AB141" s="158"/>
      <c r="AC141" s="158"/>
      <c r="AD141" s="158"/>
      <c r="AE141" s="158"/>
      <c r="AF141" s="158"/>
      <c r="AG141" s="158"/>
      <c r="AH141" s="158"/>
      <c r="AI141" s="158"/>
      <c r="AJ141" s="158"/>
      <c r="AK141" s="158">
        <v>50</v>
      </c>
      <c r="AL141" s="158" t="s">
        <v>202</v>
      </c>
      <c r="AM141" s="158"/>
    </row>
    <row r="142" spans="24:39" ht="12.75" hidden="1">
      <c r="X142" s="158"/>
      <c r="Y142" s="158"/>
      <c r="Z142" s="158"/>
      <c r="AA142" s="158"/>
      <c r="AB142" s="158"/>
      <c r="AC142" s="158"/>
      <c r="AD142" s="158"/>
      <c r="AE142" s="158"/>
      <c r="AF142" s="158"/>
      <c r="AG142" s="158"/>
      <c r="AH142" s="158"/>
      <c r="AI142" s="158"/>
      <c r="AJ142" s="158"/>
      <c r="AK142" s="158">
        <v>60</v>
      </c>
      <c r="AL142" s="158" t="s">
        <v>204</v>
      </c>
      <c r="AM142" s="158"/>
    </row>
    <row r="143" spans="24:39" ht="12.75" hidden="1">
      <c r="X143" s="158"/>
      <c r="Y143" s="158"/>
      <c r="Z143" s="158"/>
      <c r="AA143" s="158"/>
      <c r="AB143" s="158"/>
      <c r="AC143" s="158"/>
      <c r="AD143" s="158"/>
      <c r="AE143" s="158"/>
      <c r="AF143" s="158"/>
      <c r="AG143" s="158"/>
      <c r="AH143" s="158"/>
      <c r="AI143" s="158"/>
      <c r="AJ143" s="158"/>
      <c r="AK143" s="158">
        <v>70</v>
      </c>
      <c r="AL143" s="158" t="s">
        <v>206</v>
      </c>
      <c r="AM143" s="158"/>
    </row>
    <row r="144" spans="24:39" ht="12.75" hidden="1">
      <c r="X144" s="158"/>
      <c r="Y144" s="158"/>
      <c r="Z144" s="158"/>
      <c r="AA144" s="158"/>
      <c r="AB144" s="158"/>
      <c r="AC144" s="158"/>
      <c r="AD144" s="158"/>
      <c r="AE144" s="158"/>
      <c r="AF144" s="158"/>
      <c r="AG144" s="158"/>
      <c r="AH144" s="158"/>
      <c r="AI144" s="158"/>
      <c r="AJ144" s="158"/>
      <c r="AK144" s="158">
        <v>80</v>
      </c>
      <c r="AL144" s="158" t="s">
        <v>208</v>
      </c>
      <c r="AM144" s="158"/>
    </row>
    <row r="145" spans="24:39" ht="12.75" hidden="1">
      <c r="X145" s="158"/>
      <c r="Y145" s="158"/>
      <c r="Z145" s="158"/>
      <c r="AA145" s="158"/>
      <c r="AB145" s="158"/>
      <c r="AC145" s="158"/>
      <c r="AD145" s="158"/>
      <c r="AE145" s="158"/>
      <c r="AF145" s="158"/>
      <c r="AG145" s="158"/>
      <c r="AH145" s="158"/>
      <c r="AI145" s="158"/>
      <c r="AJ145" s="158"/>
      <c r="AK145" s="158">
        <v>90</v>
      </c>
      <c r="AL145" s="158" t="s">
        <v>210</v>
      </c>
      <c r="AM145" s="158"/>
    </row>
    <row r="146" ht="12.75" hidden="1">
      <c r="AJ146" s="88"/>
    </row>
    <row r="147" spans="24:39" ht="12.75" hidden="1">
      <c r="X147" s="159">
        <f>'[2]pf'!F11</f>
        <v>2917</v>
      </c>
      <c r="Y147" s="158">
        <f>(X147-X150)/1000</f>
        <v>2</v>
      </c>
      <c r="Z147" s="158"/>
      <c r="AA147" s="158"/>
      <c r="AB147" s="158"/>
      <c r="AC147" s="158"/>
      <c r="AD147" s="158"/>
      <c r="AE147" s="158"/>
      <c r="AF147" s="158"/>
      <c r="AG147" s="158"/>
      <c r="AH147" s="158"/>
      <c r="AI147" s="158"/>
      <c r="AJ147" s="158"/>
      <c r="AK147" s="158">
        <v>1</v>
      </c>
      <c r="AL147" s="158" t="s">
        <v>194</v>
      </c>
      <c r="AM147" s="158"/>
    </row>
    <row r="148" spans="24:39" ht="12.75" hidden="1">
      <c r="X148" s="158">
        <f>(Y147-X149)/100</f>
        <v>0</v>
      </c>
      <c r="Y148" s="158">
        <f>X148</f>
        <v>0</v>
      </c>
      <c r="Z148" s="158">
        <f>RIGHT(Y148,2)*1</f>
        <v>0</v>
      </c>
      <c r="AA148" s="158">
        <f>(Y148-Z148)/100</f>
        <v>0</v>
      </c>
      <c r="AB148" s="158">
        <f>(Z148-RIGHT(Z148,1)*1)/10</f>
        <v>0</v>
      </c>
      <c r="AC148" s="158">
        <f>RIGHT(Y148,1)*1</f>
        <v>0</v>
      </c>
      <c r="AD148" s="158" t="str">
        <f>IF(AB148=AK148,AM148,IF(AB148=AK149,AM149,IF(AB148=AK150,AM150,IF(AB148=AK151,AM151,IF(AB148=AK152,AM152,IF(AB148=AK153,AM153,IF(AB148=AK154,AM154,IF(AB148=AK155,AM155," "))))))))</f>
        <v> </v>
      </c>
      <c r="AE148" s="158" t="str">
        <f>IF(AB148=1," ",IF(AC148=AK147,AL147,IF(AC148=AK148,AL148,IF(AC148=AK149,AL149,IF(AC148=AK150,AL150,IF(AC148=AK151,AL151,IF(AC148=AK152,AL152," ")))))))</f>
        <v> </v>
      </c>
      <c r="AF148" s="158" t="str">
        <f>IF(AB148=1," ",IF(AC148=AK153,AL153,IF(AC148=AK154,AL154,IF(AC148=AK155,AL155," "))))</f>
        <v> </v>
      </c>
      <c r="AG148" s="158" t="str">
        <f>IF(AB148=0," ",IF(AB148&gt;1," ",IF(AC148=AK148,AL158,IF(AC148=AK149,AL159,IF(AC148=AK150,AL160,IF(AC148=AK151,AL161,IF(AC148=AK152,AL162,IF(AC148=AK153,AL163," "))))))))</f>
        <v> </v>
      </c>
      <c r="AH148" s="158" t="str">
        <f>IF(AB148=0," ",IF(AB148&gt;1," ",IF(AC148=AK154,AL164,IF(AC148=AK155,AL165,IF(AC148=AK147,AL157,IF(AC148=0,AL156," "))))))</f>
        <v> </v>
      </c>
      <c r="AI148" s="158" t="str">
        <f>IF(AB148=0," ","lakh")</f>
        <v> </v>
      </c>
      <c r="AJ148" s="158" t="str">
        <f>IF(AC148=0," ",IF(AB148&gt;0," ","lakh"))</f>
        <v> </v>
      </c>
      <c r="AK148" s="158">
        <v>2</v>
      </c>
      <c r="AL148" s="158" t="s">
        <v>195</v>
      </c>
      <c r="AM148" s="158" t="s">
        <v>196</v>
      </c>
    </row>
    <row r="149" spans="24:39" ht="12.75" hidden="1">
      <c r="X149" s="158">
        <f>RIGHT(Y147,2)*1</f>
        <v>2</v>
      </c>
      <c r="Y149" s="158">
        <f>X149</f>
        <v>2</v>
      </c>
      <c r="Z149" s="158">
        <f>RIGHT(Y149,2)*1</f>
        <v>2</v>
      </c>
      <c r="AA149" s="158">
        <f>(Y149-Z149)/100</f>
        <v>0</v>
      </c>
      <c r="AB149" s="158">
        <f>(Z149-RIGHT(Z149,1)*1)/10</f>
        <v>0</v>
      </c>
      <c r="AC149" s="158">
        <f>RIGHT(Y149,1)*1</f>
        <v>2</v>
      </c>
      <c r="AD149" s="158" t="str">
        <f>IF(AB149=AK148,AM148,IF(AB149=AK149,AM149,IF(AB149=AK150,AM150,IF(AB149=AK151,AM151,IF(AB149=AK152,AM152,IF(AB149=AK153,AM153,IF(AB149=AK154,AM154,IF(AB149=AK155,AM155," "))))))))</f>
        <v> </v>
      </c>
      <c r="AE149" s="158" t="str">
        <f>IF(AB149=1," ",IF(AC149=AK147,AL147,IF(AC149=AK148,AL148,IF(AC149=AK149,AL149,IF(AC149=AK150,AL150,IF(AC149=AK151,AL151,IF(AC149=AK152,AL152," ")))))))</f>
        <v>Two</v>
      </c>
      <c r="AF149" s="158" t="str">
        <f>IF(AB149=1," ",IF(AC149=AK153,AL153,IF(AC149=AK154,AL154,IF(AC149=AK155,AL155," "))))</f>
        <v> </v>
      </c>
      <c r="AG149" s="158" t="str">
        <f>IF(AB149=0," ",IF(AB149&gt;1," ",IF(AC149=AK148,AL158,IF(AC149=AK149,AL159,IF(AC149=AK150,AL160,IF(AC149=AK151,AL161,IF(AC149=AK152,AL162,IF(AC149=AK153,AL163," "))))))))</f>
        <v> </v>
      </c>
      <c r="AH149" s="158" t="str">
        <f>IF(AB149=0," ",IF(AB149&gt;1," ",IF(AC149=AK154,AL164,IF(AC149=AK155,AL165,IF(AC149=AK147,AL157,IF(AC149=0,AL156," "))))))</f>
        <v> </v>
      </c>
      <c r="AI149" s="158" t="str">
        <f>IF(AB149=0," ","thousand")</f>
        <v> </v>
      </c>
      <c r="AJ149" s="158" t="str">
        <f>IF(AC149=0," ",IF(AB149&gt;0," ","thousand"))</f>
        <v>thousand</v>
      </c>
      <c r="AK149" s="158">
        <v>3</v>
      </c>
      <c r="AL149" s="158" t="s">
        <v>197</v>
      </c>
      <c r="AM149" s="158" t="s">
        <v>198</v>
      </c>
    </row>
    <row r="150" spans="24:39" ht="12.75" hidden="1">
      <c r="X150" s="158">
        <f>RIGHT(X147,3)*1</f>
        <v>917</v>
      </c>
      <c r="Y150" s="158">
        <f>X150</f>
        <v>917</v>
      </c>
      <c r="Z150" s="158">
        <f>ROUND((Y150-AA151)/100,0)</f>
        <v>9</v>
      </c>
      <c r="AA150" s="158"/>
      <c r="AB150" s="158"/>
      <c r="AC150" s="158"/>
      <c r="AD150" s="158"/>
      <c r="AE150" s="158" t="str">
        <f>IF(Z150=0," ",IF(Z150=AK147,AL147,IF(Z150=AK148,AL148,IF(Z150=AK149,AL149,IF(Z150=AK150,AL150,IF(Z150=AK151,AL151,IF(Z150=AK152,AL152," ")))))))</f>
        <v> </v>
      </c>
      <c r="AF150" s="158" t="str">
        <f>IF(Z150=0," ",IF(Z150=AK153,AL153,IF(Z150=AK154,AL154,IF(Z150=AK155,AL155," "))))</f>
        <v>Nine</v>
      </c>
      <c r="AG150" s="158"/>
      <c r="AH150" s="158"/>
      <c r="AI150" s="158" t="str">
        <f>IF(Z150=0," ","hundred")</f>
        <v>hundred</v>
      </c>
      <c r="AJ150" s="158"/>
      <c r="AK150" s="158">
        <v>4</v>
      </c>
      <c r="AL150" s="158" t="s">
        <v>199</v>
      </c>
      <c r="AM150" s="158" t="s">
        <v>200</v>
      </c>
    </row>
    <row r="151" spans="24:39" ht="12.75" hidden="1">
      <c r="X151" s="158"/>
      <c r="Y151" s="158"/>
      <c r="Z151" s="158"/>
      <c r="AA151" s="158">
        <f>RIGHT(Y150,2)*1</f>
        <v>17</v>
      </c>
      <c r="AB151" s="158">
        <f>(AA151-RIGHT(AA151,1)*1)/10</f>
        <v>1</v>
      </c>
      <c r="AC151" s="158">
        <f>RIGHT(Y150,1)*1</f>
        <v>7</v>
      </c>
      <c r="AD151" s="158" t="str">
        <f>IF(AB151=AK148,AM148,IF(AB151=AK149,AM149,IF(AB151=AK150,AM150,IF(AB151=AK151,AM151,IF(AB151=AK152,AM152,IF(AB151=AK153,AM153,IF(AB151=AK154,AM154,IF(AB151=AK155,AM155," "))))))))</f>
        <v> </v>
      </c>
      <c r="AE151" s="158" t="str">
        <f>IF(AB151=1," ",IF(AC151=AK147,AL147,IF(AC151=AK148,AL148,IF(AC151=AK149,AL149,IF(AC151=AK150,AL150,IF(AC151=AK151,AL151,IF(AC151=AK152,AL152," ")))))))</f>
        <v> </v>
      </c>
      <c r="AF151" s="158" t="str">
        <f>IF(AB151=1," ",IF(AC151=AK153,AL153,IF(AC151=AK154,AL154,IF(AC151=AK155,AL155," "))))</f>
        <v> </v>
      </c>
      <c r="AG151" s="158" t="str">
        <f>IF(AB151=0," ",IF(AB151&gt;1," ",IF(AC151=AK148,AL158,IF(AC151=AK149,AL159,IF(AC151=AK150,AL160,IF(AC151=AK151,AL161,IF(AC151=AL162,AL152,IF(AC151=AK153,AL163," "))))))))</f>
        <v>Seventeen</v>
      </c>
      <c r="AH151" s="158" t="str">
        <f>IF(AB151=0," ",IF(AB151&gt;1," ",IF(AC151=AK154,AL164,IF(AC151=AK155,AL165,IF(AC151=AK147,AL157,IF(AC151=0,AL156," "))))))</f>
        <v> </v>
      </c>
      <c r="AI151" s="158"/>
      <c r="AJ151" s="158"/>
      <c r="AK151" s="158">
        <v>5</v>
      </c>
      <c r="AL151" s="158" t="s">
        <v>201</v>
      </c>
      <c r="AM151" s="158" t="s">
        <v>202</v>
      </c>
    </row>
    <row r="152" spans="24:39" ht="12.75" hidden="1">
      <c r="X152" s="158"/>
      <c r="Y152" s="158"/>
      <c r="Z152" s="158"/>
      <c r="AA152" s="158"/>
      <c r="AB152" s="158">
        <f>AB151</f>
        <v>1</v>
      </c>
      <c r="AC152" s="158">
        <f>AC151</f>
        <v>7</v>
      </c>
      <c r="AD152" s="158"/>
      <c r="AE152" s="158"/>
      <c r="AF152" s="158"/>
      <c r="AG152" s="158"/>
      <c r="AH152" s="158"/>
      <c r="AI152" s="158"/>
      <c r="AJ152" s="158"/>
      <c r="AK152" s="158">
        <v>6</v>
      </c>
      <c r="AL152" s="158" t="s">
        <v>203</v>
      </c>
      <c r="AM152" s="158" t="s">
        <v>204</v>
      </c>
    </row>
    <row r="153" spans="24:39" ht="12.75" hidden="1">
      <c r="X153" s="158"/>
      <c r="Y153" s="158"/>
      <c r="Z153" s="158"/>
      <c r="AA153" s="158"/>
      <c r="AB153" s="158"/>
      <c r="AC153" s="158"/>
      <c r="AD153" s="158"/>
      <c r="AE153" s="158"/>
      <c r="AF153" s="158"/>
      <c r="AG153" s="158"/>
      <c r="AH153" s="158"/>
      <c r="AI153" s="158"/>
      <c r="AJ153" s="158"/>
      <c r="AK153" s="158">
        <v>7</v>
      </c>
      <c r="AL153" s="158" t="s">
        <v>205</v>
      </c>
      <c r="AM153" s="158" t="s">
        <v>206</v>
      </c>
    </row>
    <row r="154" spans="24:39" ht="12.75" hidden="1">
      <c r="X154" s="158"/>
      <c r="Y154" s="158"/>
      <c r="Z154" s="158"/>
      <c r="AA154" s="158"/>
      <c r="AB154" s="158"/>
      <c r="AC154" s="158"/>
      <c r="AD154" s="158"/>
      <c r="AE154" s="158"/>
      <c r="AF154" s="158"/>
      <c r="AG154" s="158"/>
      <c r="AH154" s="158"/>
      <c r="AI154" s="158"/>
      <c r="AJ154" s="158"/>
      <c r="AK154" s="158">
        <v>8</v>
      </c>
      <c r="AL154" s="158" t="s">
        <v>207</v>
      </c>
      <c r="AM154" s="158" t="s">
        <v>208</v>
      </c>
    </row>
    <row r="155" spans="24:39" ht="12.75" hidden="1">
      <c r="X155" s="158">
        <f>TRIM(AD148&amp;" "&amp;AE148&amp;" "&amp;AF148&amp;" "&amp;AG148&amp;" "&amp;AH148&amp;" "&amp;AI148&amp;" "&amp;AJ148)</f>
      </c>
      <c r="Y155" s="158"/>
      <c r="Z155" s="158"/>
      <c r="AA155" s="158"/>
      <c r="AB155" s="158"/>
      <c r="AC155" s="158"/>
      <c r="AD155" s="158"/>
      <c r="AE155" s="158"/>
      <c r="AF155" s="158"/>
      <c r="AG155" s="158"/>
      <c r="AH155" s="158"/>
      <c r="AI155" s="158"/>
      <c r="AJ155" s="158"/>
      <c r="AK155" s="158">
        <v>9</v>
      </c>
      <c r="AL155" s="158" t="s">
        <v>209</v>
      </c>
      <c r="AM155" s="158" t="s">
        <v>210</v>
      </c>
    </row>
    <row r="156" spans="24:39" ht="12.75" hidden="1">
      <c r="X156" s="158" t="str">
        <f>TRIM(AD149&amp;" "&amp;AE149&amp;" "&amp;AF149&amp;" "&amp;AG149&amp;" "&amp;AH149&amp;" "&amp;AI149&amp;" "&amp;AJ149)</f>
        <v>Two thousand</v>
      </c>
      <c r="Y156" s="158"/>
      <c r="Z156" s="158"/>
      <c r="AA156" s="158"/>
      <c r="AB156" s="158"/>
      <c r="AC156" s="158"/>
      <c r="AD156" s="158"/>
      <c r="AE156" s="158"/>
      <c r="AF156" s="158"/>
      <c r="AG156" s="158"/>
      <c r="AH156" s="158"/>
      <c r="AI156" s="158"/>
      <c r="AJ156" s="158"/>
      <c r="AK156" s="158">
        <v>10</v>
      </c>
      <c r="AL156" s="158" t="s">
        <v>211</v>
      </c>
      <c r="AM156" s="158"/>
    </row>
    <row r="157" spans="24:39" ht="12.75" hidden="1">
      <c r="X157" s="158" t="str">
        <f>TRIM(AD150&amp;" "&amp;AE150&amp;" "&amp;AF150&amp;" "&amp;AG150&amp;" "&amp;AH150&amp;" "&amp;AI150&amp;" "&amp;AJ150)</f>
        <v>Nine hundred</v>
      </c>
      <c r="Y157" s="158"/>
      <c r="Z157" s="158"/>
      <c r="AA157" s="158"/>
      <c r="AB157" s="158"/>
      <c r="AC157" s="158"/>
      <c r="AD157" s="158"/>
      <c r="AE157" s="158"/>
      <c r="AF157" s="158"/>
      <c r="AG157" s="158"/>
      <c r="AH157" s="158"/>
      <c r="AI157" s="158"/>
      <c r="AJ157" s="158"/>
      <c r="AK157" s="158">
        <v>11</v>
      </c>
      <c r="AL157" s="158" t="s">
        <v>212</v>
      </c>
      <c r="AM157" s="158"/>
    </row>
    <row r="158" spans="24:39" ht="12.75" hidden="1">
      <c r="X158" s="158" t="str">
        <f>TRIM(AD151&amp;" "&amp;AE151&amp;" "&amp;AF151&amp;" "&amp;AG151&amp;" "&amp;AH151)</f>
        <v>Seventeen</v>
      </c>
      <c r="Y158" s="158"/>
      <c r="Z158" s="158"/>
      <c r="AA158" s="158"/>
      <c r="AB158" s="158"/>
      <c r="AC158" s="158"/>
      <c r="AD158" s="158"/>
      <c r="AE158" s="158"/>
      <c r="AF158" s="158"/>
      <c r="AG158" s="158"/>
      <c r="AH158" s="158"/>
      <c r="AI158" s="158"/>
      <c r="AJ158" s="158"/>
      <c r="AK158" s="158">
        <v>12</v>
      </c>
      <c r="AL158" s="158" t="s">
        <v>213</v>
      </c>
      <c r="AM158" s="158"/>
    </row>
    <row r="159" spans="24:39" ht="12.75" hidden="1">
      <c r="X159" s="158" t="str">
        <f>TRIM(X155&amp;" "&amp;X156&amp;" "&amp;X157&amp;" "&amp;X158)&amp;" only"</f>
        <v>Two thousand Nine hundred Seventeen only</v>
      </c>
      <c r="Y159" s="158"/>
      <c r="Z159" s="158"/>
      <c r="AA159" s="158"/>
      <c r="AB159" s="158"/>
      <c r="AC159" s="158"/>
      <c r="AD159" s="158"/>
      <c r="AE159" s="158"/>
      <c r="AF159" s="158"/>
      <c r="AG159" s="158"/>
      <c r="AH159" s="158"/>
      <c r="AI159" s="158"/>
      <c r="AJ159" s="158"/>
      <c r="AK159" s="158">
        <v>13</v>
      </c>
      <c r="AL159" s="158" t="s">
        <v>214</v>
      </c>
      <c r="AM159" s="158"/>
    </row>
    <row r="160" spans="24:39" ht="12.75" hidden="1">
      <c r="X160" s="158"/>
      <c r="Y160" s="158"/>
      <c r="Z160" s="158"/>
      <c r="AA160" s="158"/>
      <c r="AB160" s="158"/>
      <c r="AC160" s="158"/>
      <c r="AD160" s="158"/>
      <c r="AE160" s="158"/>
      <c r="AF160" s="158"/>
      <c r="AG160" s="158"/>
      <c r="AH160" s="158"/>
      <c r="AI160" s="158"/>
      <c r="AJ160" s="158"/>
      <c r="AK160" s="158">
        <v>14</v>
      </c>
      <c r="AL160" s="158" t="s">
        <v>215</v>
      </c>
      <c r="AM160" s="158"/>
    </row>
    <row r="161" spans="24:39" ht="12.75" hidden="1">
      <c r="X161" s="158"/>
      <c r="Y161" s="158"/>
      <c r="Z161" s="158"/>
      <c r="AA161" s="158"/>
      <c r="AB161" s="158"/>
      <c r="AC161" s="158"/>
      <c r="AD161" s="158"/>
      <c r="AE161" s="158"/>
      <c r="AF161" s="158"/>
      <c r="AG161" s="158"/>
      <c r="AH161" s="158"/>
      <c r="AI161" s="158"/>
      <c r="AJ161" s="158"/>
      <c r="AK161" s="158">
        <v>15</v>
      </c>
      <c r="AL161" s="158" t="s">
        <v>216</v>
      </c>
      <c r="AM161" s="158"/>
    </row>
    <row r="162" spans="24:39" ht="12.75" hidden="1">
      <c r="X162" s="158"/>
      <c r="Y162" s="158"/>
      <c r="Z162" s="158"/>
      <c r="AA162" s="158"/>
      <c r="AB162" s="158"/>
      <c r="AC162" s="158"/>
      <c r="AD162" s="158"/>
      <c r="AE162" s="158"/>
      <c r="AF162" s="158"/>
      <c r="AG162" s="158"/>
      <c r="AH162" s="158"/>
      <c r="AI162" s="158"/>
      <c r="AJ162" s="158"/>
      <c r="AK162" s="158">
        <v>16</v>
      </c>
      <c r="AL162" s="158" t="s">
        <v>217</v>
      </c>
      <c r="AM162" s="158"/>
    </row>
    <row r="163" spans="24:39" ht="12.75" hidden="1">
      <c r="X163" s="158"/>
      <c r="Y163" s="158"/>
      <c r="Z163" s="158"/>
      <c r="AA163" s="158"/>
      <c r="AB163" s="158"/>
      <c r="AC163" s="158"/>
      <c r="AD163" s="158"/>
      <c r="AE163" s="158"/>
      <c r="AF163" s="158"/>
      <c r="AG163" s="158"/>
      <c r="AH163" s="158"/>
      <c r="AI163" s="158"/>
      <c r="AJ163" s="158"/>
      <c r="AK163" s="158">
        <v>17</v>
      </c>
      <c r="AL163" s="158" t="s">
        <v>218</v>
      </c>
      <c r="AM163" s="158"/>
    </row>
    <row r="164" spans="24:39" ht="12.75" hidden="1">
      <c r="X164" s="158"/>
      <c r="Y164" s="158"/>
      <c r="Z164" s="158"/>
      <c r="AA164" s="158"/>
      <c r="AB164" s="158"/>
      <c r="AC164" s="158"/>
      <c r="AD164" s="158"/>
      <c r="AE164" s="158"/>
      <c r="AF164" s="158"/>
      <c r="AG164" s="158"/>
      <c r="AH164" s="158"/>
      <c r="AI164" s="158"/>
      <c r="AJ164" s="158"/>
      <c r="AK164" s="158">
        <v>18</v>
      </c>
      <c r="AL164" s="158" t="s">
        <v>219</v>
      </c>
      <c r="AM164" s="158"/>
    </row>
    <row r="165" spans="24:39" ht="12.75" hidden="1">
      <c r="X165" s="158"/>
      <c r="Y165" s="158"/>
      <c r="Z165" s="158"/>
      <c r="AA165" s="158"/>
      <c r="AB165" s="158"/>
      <c r="AC165" s="158"/>
      <c r="AD165" s="158"/>
      <c r="AE165" s="158"/>
      <c r="AF165" s="158"/>
      <c r="AG165" s="158"/>
      <c r="AH165" s="158"/>
      <c r="AI165" s="158"/>
      <c r="AJ165" s="158"/>
      <c r="AK165" s="158">
        <v>19</v>
      </c>
      <c r="AL165" s="158" t="s">
        <v>220</v>
      </c>
      <c r="AM165" s="158"/>
    </row>
    <row r="166" spans="24:39" ht="12.75" hidden="1">
      <c r="X166" s="158"/>
      <c r="Y166" s="158"/>
      <c r="Z166" s="158"/>
      <c r="AA166" s="158"/>
      <c r="AB166" s="158"/>
      <c r="AC166" s="158"/>
      <c r="AD166" s="158"/>
      <c r="AE166" s="158"/>
      <c r="AF166" s="158"/>
      <c r="AG166" s="158"/>
      <c r="AH166" s="158"/>
      <c r="AI166" s="158"/>
      <c r="AJ166" s="158"/>
      <c r="AK166" s="158">
        <v>20</v>
      </c>
      <c r="AL166" s="158" t="s">
        <v>196</v>
      </c>
      <c r="AM166" s="158"/>
    </row>
    <row r="167" spans="24:39" ht="12.75" hidden="1">
      <c r="X167" s="158"/>
      <c r="Y167" s="158"/>
      <c r="Z167" s="158"/>
      <c r="AA167" s="158"/>
      <c r="AB167" s="158"/>
      <c r="AC167" s="158"/>
      <c r="AD167" s="158"/>
      <c r="AE167" s="158"/>
      <c r="AF167" s="158"/>
      <c r="AG167" s="158"/>
      <c r="AH167" s="158"/>
      <c r="AI167" s="158"/>
      <c r="AJ167" s="158"/>
      <c r="AK167" s="158">
        <v>30</v>
      </c>
      <c r="AL167" s="158" t="s">
        <v>198</v>
      </c>
      <c r="AM167" s="158"/>
    </row>
    <row r="168" spans="24:39" ht="12.75" hidden="1">
      <c r="X168" s="158"/>
      <c r="Y168" s="158"/>
      <c r="Z168" s="158"/>
      <c r="AA168" s="158"/>
      <c r="AB168" s="158"/>
      <c r="AC168" s="158"/>
      <c r="AD168" s="158"/>
      <c r="AE168" s="158"/>
      <c r="AF168" s="158"/>
      <c r="AG168" s="158"/>
      <c r="AH168" s="158"/>
      <c r="AI168" s="158"/>
      <c r="AJ168" s="158"/>
      <c r="AK168" s="158">
        <v>40</v>
      </c>
      <c r="AL168" s="158" t="s">
        <v>200</v>
      </c>
      <c r="AM168" s="158"/>
    </row>
    <row r="169" spans="24:39" ht="12.75" hidden="1">
      <c r="X169" s="158"/>
      <c r="Y169" s="158"/>
      <c r="Z169" s="158"/>
      <c r="AA169" s="158"/>
      <c r="AB169" s="158"/>
      <c r="AC169" s="158"/>
      <c r="AD169" s="158"/>
      <c r="AE169" s="158"/>
      <c r="AF169" s="158"/>
      <c r="AG169" s="158"/>
      <c r="AH169" s="158"/>
      <c r="AI169" s="158"/>
      <c r="AJ169" s="158"/>
      <c r="AK169" s="158">
        <v>50</v>
      </c>
      <c r="AL169" s="158" t="s">
        <v>202</v>
      </c>
      <c r="AM169" s="158"/>
    </row>
    <row r="170" spans="24:39" ht="12.75" hidden="1">
      <c r="X170" s="158"/>
      <c r="Y170" s="158"/>
      <c r="Z170" s="158"/>
      <c r="AA170" s="158"/>
      <c r="AB170" s="158"/>
      <c r="AC170" s="158"/>
      <c r="AD170" s="158"/>
      <c r="AE170" s="158"/>
      <c r="AF170" s="158"/>
      <c r="AG170" s="158"/>
      <c r="AH170" s="158"/>
      <c r="AI170" s="158"/>
      <c r="AJ170" s="158"/>
      <c r="AK170" s="158">
        <v>60</v>
      </c>
      <c r="AL170" s="158" t="s">
        <v>204</v>
      </c>
      <c r="AM170" s="158"/>
    </row>
    <row r="171" spans="24:39" ht="12.75" hidden="1">
      <c r="X171" s="158"/>
      <c r="Y171" s="158"/>
      <c r="Z171" s="158"/>
      <c r="AA171" s="158"/>
      <c r="AB171" s="158"/>
      <c r="AC171" s="158"/>
      <c r="AD171" s="158"/>
      <c r="AE171" s="158"/>
      <c r="AF171" s="158"/>
      <c r="AG171" s="158"/>
      <c r="AH171" s="158"/>
      <c r="AI171" s="158"/>
      <c r="AJ171" s="158"/>
      <c r="AK171" s="158">
        <v>70</v>
      </c>
      <c r="AL171" s="158" t="s">
        <v>206</v>
      </c>
      <c r="AM171" s="158"/>
    </row>
    <row r="172" spans="24:39" ht="12.75" hidden="1">
      <c r="X172" s="158"/>
      <c r="Y172" s="158"/>
      <c r="Z172" s="158"/>
      <c r="AA172" s="158"/>
      <c r="AB172" s="158"/>
      <c r="AC172" s="158"/>
      <c r="AD172" s="158"/>
      <c r="AE172" s="158"/>
      <c r="AF172" s="158"/>
      <c r="AG172" s="158"/>
      <c r="AH172" s="158"/>
      <c r="AI172" s="158"/>
      <c r="AJ172" s="158"/>
      <c r="AK172" s="158">
        <v>80</v>
      </c>
      <c r="AL172" s="158" t="s">
        <v>208</v>
      </c>
      <c r="AM172" s="158"/>
    </row>
    <row r="173" spans="24:39" ht="12.75" hidden="1">
      <c r="X173" s="158"/>
      <c r="Y173" s="158"/>
      <c r="Z173" s="158"/>
      <c r="AA173" s="158"/>
      <c r="AB173" s="158"/>
      <c r="AC173" s="158"/>
      <c r="AD173" s="158"/>
      <c r="AE173" s="158"/>
      <c r="AF173" s="158"/>
      <c r="AG173" s="158"/>
      <c r="AH173" s="158"/>
      <c r="AI173" s="158"/>
      <c r="AJ173" s="158"/>
      <c r="AK173" s="158">
        <v>90</v>
      </c>
      <c r="AL173" s="158" t="s">
        <v>210</v>
      </c>
      <c r="AM173" s="158"/>
    </row>
    <row r="174" ht="12.75" hidden="1">
      <c r="AJ174" s="88"/>
    </row>
    <row r="175" ht="12.75" hidden="1">
      <c r="AJ175" s="88"/>
    </row>
    <row r="176" spans="24:39" ht="12.75" hidden="1">
      <c r="X176" s="159">
        <f>'[2]pf'!F32</f>
        <v>0</v>
      </c>
      <c r="Y176" s="158">
        <f>(X176-X179)/1000</f>
        <v>0</v>
      </c>
      <c r="Z176" s="158"/>
      <c r="AA176" s="158"/>
      <c r="AB176" s="158"/>
      <c r="AC176" s="158"/>
      <c r="AD176" s="158"/>
      <c r="AE176" s="158"/>
      <c r="AF176" s="158"/>
      <c r="AG176" s="158"/>
      <c r="AH176" s="158"/>
      <c r="AI176" s="158"/>
      <c r="AJ176" s="158"/>
      <c r="AK176" s="158">
        <v>1</v>
      </c>
      <c r="AL176" s="158" t="s">
        <v>194</v>
      </c>
      <c r="AM176" s="158"/>
    </row>
    <row r="177" spans="24:39" ht="12.75" hidden="1">
      <c r="X177" s="158">
        <f>(Y176-X178)/100</f>
        <v>0</v>
      </c>
      <c r="Y177" s="158">
        <f>X177</f>
        <v>0</v>
      </c>
      <c r="Z177" s="158">
        <f>RIGHT(Y177,2)*1</f>
        <v>0</v>
      </c>
      <c r="AA177" s="158">
        <f>(Y177-Z177)/100</f>
        <v>0</v>
      </c>
      <c r="AB177" s="158">
        <f>(Z177-RIGHT(Z177,1)*1)/10</f>
        <v>0</v>
      </c>
      <c r="AC177" s="158">
        <f>RIGHT(Y177,1)*1</f>
        <v>0</v>
      </c>
      <c r="AD177" s="158" t="str">
        <f>IF(AB177=AK177,AM177,IF(AB177=AK178,AM178,IF(AB177=AK179,AM179,IF(AB177=AK180,AM180,IF(AB177=AK181,AM181,IF(AB177=AK182,AM182,IF(AB177=AK183,AM183,IF(AB177=AK184,AM184," "))))))))</f>
        <v> </v>
      </c>
      <c r="AE177" s="158" t="str">
        <f>IF(AB177=1," ",IF(AC177=AK176,AL176,IF(AC177=AK177,AL177,IF(AC177=AK178,AL178,IF(AC177=AK179,AL179,IF(AC177=AK180,AL180,IF(AC177=AK181,AL181," ")))))))</f>
        <v> </v>
      </c>
      <c r="AF177" s="158" t="str">
        <f>IF(AB177=1," ",IF(AC177=AK182,AL182,IF(AC177=AK183,AL183,IF(AC177=AK184,AL184," "))))</f>
        <v> </v>
      </c>
      <c r="AG177" s="158" t="str">
        <f>IF(AB177=0," ",IF(AB177&gt;1," ",IF(AC177=AK177,AL187,IF(AC177=AK178,AL188,IF(AC177=AK179,AL189,IF(AC177=AK180,AL190,IF(AC177=AK181,AL191,IF(AC177=AK182,AL192," "))))))))</f>
        <v> </v>
      </c>
      <c r="AH177" s="158" t="str">
        <f>IF(AB177=0," ",IF(AB177&gt;1," ",IF(AC177=AK183,AL193,IF(AC177=AK184,AL194,IF(AC177=AK176,AL186,IF(AC177=0,AL185," "))))))</f>
        <v> </v>
      </c>
      <c r="AI177" s="158" t="str">
        <f>IF(AB177=0," ","lakh")</f>
        <v> </v>
      </c>
      <c r="AJ177" s="158" t="str">
        <f>IF(AC177=0," ",IF(AB177&gt;0," ","lakh"))</f>
        <v> </v>
      </c>
      <c r="AK177" s="158">
        <v>2</v>
      </c>
      <c r="AL177" s="158" t="s">
        <v>195</v>
      </c>
      <c r="AM177" s="158" t="s">
        <v>196</v>
      </c>
    </row>
    <row r="178" spans="24:39" ht="12.75" hidden="1">
      <c r="X178" s="158">
        <f>RIGHT(Y176,2)*1</f>
        <v>0</v>
      </c>
      <c r="Y178" s="158">
        <f>X178</f>
        <v>0</v>
      </c>
      <c r="Z178" s="158">
        <f>RIGHT(Y178,2)*1</f>
        <v>0</v>
      </c>
      <c r="AA178" s="158">
        <f>(Y178-Z178)/100</f>
        <v>0</v>
      </c>
      <c r="AB178" s="158">
        <f>(Z178-RIGHT(Z178,1)*1)/10</f>
        <v>0</v>
      </c>
      <c r="AC178" s="158">
        <f>RIGHT(Y178,1)*1</f>
        <v>0</v>
      </c>
      <c r="AD178" s="158" t="str">
        <f>IF(AB178=AK177,AM177,IF(AB178=AK178,AM178,IF(AB178=AK179,AM179,IF(AB178=AK180,AM180,IF(AB178=AK181,AM181,IF(AB178=AK182,AM182,IF(AB178=AK183,AM183,IF(AB178=AK184,AM184," "))))))))</f>
        <v> </v>
      </c>
      <c r="AE178" s="158" t="str">
        <f>IF(AB178=1," ",IF(AC178=AK176,AL176,IF(AC178=AK177,AL177,IF(AC178=AK178,AL178,IF(AC178=AK179,AL179,IF(AC178=AK180,AL180,IF(AC178=AK181,AL181," ")))))))</f>
        <v> </v>
      </c>
      <c r="AF178" s="158" t="str">
        <f>IF(AB178=1," ",IF(AC178=AK182,AL182,IF(AC178=AK183,AL183,IF(AC178=AK184,AL184," "))))</f>
        <v> </v>
      </c>
      <c r="AG178" s="158" t="str">
        <f>IF(AB178=0," ",IF(AB178&gt;1," ",IF(AC178=AK177,AL187,IF(AC178=AK178,AL188,IF(AC178=AK179,AL189,IF(AC178=AK180,AL190,IF(AC178=AK181,AL191,IF(AC178=AK182,AL192," "))))))))</f>
        <v> </v>
      </c>
      <c r="AH178" s="158" t="str">
        <f>IF(AB178=0," ",IF(AB178&gt;1," ",IF(AC178=AK183,AL193,IF(AC178=AK184,AL194,IF(AC178=AK176,AL186,IF(AC178=0,AL185," "))))))</f>
        <v> </v>
      </c>
      <c r="AI178" s="158" t="str">
        <f>IF(AB178=0," ","thousand")</f>
        <v> </v>
      </c>
      <c r="AJ178" s="158" t="str">
        <f>IF(AC178=0," ",IF(AB178&gt;0," ","thousand"))</f>
        <v> </v>
      </c>
      <c r="AK178" s="158">
        <v>3</v>
      </c>
      <c r="AL178" s="158" t="s">
        <v>197</v>
      </c>
      <c r="AM178" s="158" t="s">
        <v>198</v>
      </c>
    </row>
    <row r="179" spans="24:39" ht="12.75" hidden="1">
      <c r="X179" s="158">
        <f>RIGHT(X176,3)*1</f>
        <v>0</v>
      </c>
      <c r="Y179" s="158">
        <f>X179</f>
        <v>0</v>
      </c>
      <c r="Z179" s="158">
        <f>ROUND((Y179-AA180)/100,0)</f>
        <v>0</v>
      </c>
      <c r="AA179" s="158"/>
      <c r="AB179" s="158"/>
      <c r="AC179" s="158"/>
      <c r="AD179" s="158"/>
      <c r="AE179" s="158" t="str">
        <f>IF(Z179=0," ",IF(Z179=AK176,AL176,IF(Z179=AK177,AL177,IF(Z179=AK178,AL178,IF(Z179=AK179,AL179,IF(Z179=AK180,AL180,IF(Z179=AK181,AL181," ")))))))</f>
        <v> </v>
      </c>
      <c r="AF179" s="158" t="str">
        <f>IF(Z179=0," ",IF(Z179=AK182,AL182,IF(Z179=AK183,AL183,IF(Z179=AK184,AL184," "))))</f>
        <v> </v>
      </c>
      <c r="AG179" s="158"/>
      <c r="AH179" s="158"/>
      <c r="AI179" s="158" t="str">
        <f>IF(Z179=0," ","hundred")</f>
        <v> </v>
      </c>
      <c r="AJ179" s="158"/>
      <c r="AK179" s="158">
        <v>4</v>
      </c>
      <c r="AL179" s="158" t="s">
        <v>199</v>
      </c>
      <c r="AM179" s="158" t="s">
        <v>200</v>
      </c>
    </row>
    <row r="180" spans="24:39" ht="12.75" hidden="1">
      <c r="X180" s="158"/>
      <c r="Y180" s="158"/>
      <c r="Z180" s="158"/>
      <c r="AA180" s="158">
        <f>RIGHT(Y179,2)*1</f>
        <v>0</v>
      </c>
      <c r="AB180" s="158">
        <f>(AA180-RIGHT(AA180,1)*1)/10</f>
        <v>0</v>
      </c>
      <c r="AC180" s="158">
        <f>RIGHT(Y179,1)*1</f>
        <v>0</v>
      </c>
      <c r="AD180" s="158" t="str">
        <f>IF(AB180=AK177,AM177,IF(AB180=AK178,AM178,IF(AB180=AK179,AM179,IF(AB180=AK180,AM180,IF(AB180=AK181,AM181,IF(AB180=AK182,AM182,IF(AB180=AK183,AM183,IF(AB180=AK184,AM184," "))))))))</f>
        <v> </v>
      </c>
      <c r="AE180" s="158" t="str">
        <f>IF(AB180=1," ",IF(AC180=AK176,AL176,IF(AC180=AK177,AL177,IF(AC180=AK178,AL178,IF(AC180=AK179,AL179,IF(AC180=AK180,AL180,IF(AC180=AK181,AL181," ")))))))</f>
        <v> </v>
      </c>
      <c r="AF180" s="158" t="str">
        <f>IF(AB180=1," ",IF(AC180=AK182,AL182,IF(AC180=AK183,AL183,IF(AC180=AK184,AL184," "))))</f>
        <v> </v>
      </c>
      <c r="AG180" s="158" t="str">
        <f>IF(AB180=0," ",IF(AB180&gt;1," ",IF(AC180=AK177,AL187,IF(AC180=AK178,AL188,IF(AC180=AK179,AL189,IF(AC180=AK180,AL190,IF(AC180=AL191,AL181,IF(AC180=AK182,AL192," "))))))))</f>
        <v> </v>
      </c>
      <c r="AH180" s="158" t="str">
        <f>IF(AB180=0," ",IF(AB180&gt;1," ",IF(AC180=AK183,AL193,IF(AC180=AK184,AL194,IF(AC180=AK176,AL186,IF(AC180=0,AL185," "))))))</f>
        <v> </v>
      </c>
      <c r="AI180" s="158"/>
      <c r="AJ180" s="158"/>
      <c r="AK180" s="158">
        <v>5</v>
      </c>
      <c r="AL180" s="158" t="s">
        <v>201</v>
      </c>
      <c r="AM180" s="158" t="s">
        <v>202</v>
      </c>
    </row>
    <row r="181" spans="24:39" ht="12.75" hidden="1">
      <c r="X181" s="158"/>
      <c r="Y181" s="158"/>
      <c r="Z181" s="158"/>
      <c r="AA181" s="158"/>
      <c r="AB181" s="158">
        <f>AB180</f>
        <v>0</v>
      </c>
      <c r="AC181" s="158">
        <f>AC180</f>
        <v>0</v>
      </c>
      <c r="AD181" s="158"/>
      <c r="AE181" s="158"/>
      <c r="AF181" s="158"/>
      <c r="AG181" s="158"/>
      <c r="AH181" s="158"/>
      <c r="AI181" s="158"/>
      <c r="AJ181" s="158"/>
      <c r="AK181" s="158">
        <v>6</v>
      </c>
      <c r="AL181" s="158" t="s">
        <v>203</v>
      </c>
      <c r="AM181" s="158" t="s">
        <v>204</v>
      </c>
    </row>
    <row r="182" spans="24:39" ht="12.75" hidden="1">
      <c r="X182" s="158"/>
      <c r="Y182" s="158"/>
      <c r="Z182" s="158"/>
      <c r="AA182" s="158"/>
      <c r="AB182" s="158"/>
      <c r="AC182" s="158"/>
      <c r="AD182" s="158"/>
      <c r="AE182" s="158"/>
      <c r="AF182" s="158"/>
      <c r="AG182" s="158"/>
      <c r="AH182" s="158"/>
      <c r="AI182" s="158"/>
      <c r="AJ182" s="158"/>
      <c r="AK182" s="158">
        <v>7</v>
      </c>
      <c r="AL182" s="158" t="s">
        <v>205</v>
      </c>
      <c r="AM182" s="158" t="s">
        <v>206</v>
      </c>
    </row>
    <row r="183" spans="24:39" ht="12.75" hidden="1">
      <c r="X183" s="158"/>
      <c r="Y183" s="158"/>
      <c r="Z183" s="158"/>
      <c r="AA183" s="158"/>
      <c r="AB183" s="158"/>
      <c r="AC183" s="158"/>
      <c r="AD183" s="158"/>
      <c r="AE183" s="158"/>
      <c r="AF183" s="158"/>
      <c r="AG183" s="158"/>
      <c r="AH183" s="158"/>
      <c r="AI183" s="158"/>
      <c r="AJ183" s="158"/>
      <c r="AK183" s="158">
        <v>8</v>
      </c>
      <c r="AL183" s="158" t="s">
        <v>207</v>
      </c>
      <c r="AM183" s="158" t="s">
        <v>208</v>
      </c>
    </row>
    <row r="184" spans="24:39" ht="12.75" hidden="1">
      <c r="X184" s="158">
        <f>TRIM(AD177&amp;" "&amp;AE177&amp;" "&amp;AF177&amp;" "&amp;AG177&amp;" "&amp;AH177&amp;" "&amp;AI177&amp;" "&amp;AJ177)</f>
      </c>
      <c r="Y184" s="158"/>
      <c r="Z184" s="158"/>
      <c r="AA184" s="158"/>
      <c r="AB184" s="158"/>
      <c r="AC184" s="158"/>
      <c r="AD184" s="158"/>
      <c r="AE184" s="158"/>
      <c r="AF184" s="158"/>
      <c r="AG184" s="158"/>
      <c r="AH184" s="158"/>
      <c r="AI184" s="158"/>
      <c r="AJ184" s="158"/>
      <c r="AK184" s="158">
        <v>9</v>
      </c>
      <c r="AL184" s="158" t="s">
        <v>209</v>
      </c>
      <c r="AM184" s="158" t="s">
        <v>210</v>
      </c>
    </row>
    <row r="185" spans="24:39" ht="12.75" hidden="1">
      <c r="X185" s="158">
        <f>TRIM(AD178&amp;" "&amp;AE178&amp;" "&amp;AF178&amp;" "&amp;AG178&amp;" "&amp;AH178&amp;" "&amp;AI178&amp;" "&amp;AJ178)</f>
      </c>
      <c r="Y185" s="158"/>
      <c r="Z185" s="158"/>
      <c r="AA185" s="158"/>
      <c r="AB185" s="158"/>
      <c r="AC185" s="158"/>
      <c r="AD185" s="158"/>
      <c r="AE185" s="158"/>
      <c r="AF185" s="158"/>
      <c r="AG185" s="158"/>
      <c r="AH185" s="158"/>
      <c r="AI185" s="158"/>
      <c r="AJ185" s="158"/>
      <c r="AK185" s="158">
        <v>10</v>
      </c>
      <c r="AL185" s="158" t="s">
        <v>211</v>
      </c>
      <c r="AM185" s="158"/>
    </row>
    <row r="186" spans="24:39" ht="12.75" hidden="1">
      <c r="X186" s="158">
        <f>TRIM(AD179&amp;" "&amp;AE179&amp;" "&amp;AF179&amp;" "&amp;AG179&amp;" "&amp;AH179&amp;" "&amp;AI179&amp;" "&amp;AJ179)</f>
      </c>
      <c r="Y186" s="158"/>
      <c r="Z186" s="158"/>
      <c r="AA186" s="158"/>
      <c r="AB186" s="158"/>
      <c r="AC186" s="158"/>
      <c r="AD186" s="158"/>
      <c r="AE186" s="158"/>
      <c r="AF186" s="158"/>
      <c r="AG186" s="158"/>
      <c r="AH186" s="158"/>
      <c r="AI186" s="158"/>
      <c r="AJ186" s="158"/>
      <c r="AK186" s="158">
        <v>11</v>
      </c>
      <c r="AL186" s="158" t="s">
        <v>212</v>
      </c>
      <c r="AM186" s="158"/>
    </row>
    <row r="187" spans="24:39" ht="12.75" hidden="1">
      <c r="X187" s="158">
        <f>TRIM(AD180&amp;" "&amp;AE180&amp;" "&amp;AF180&amp;" "&amp;AG180&amp;" "&amp;AH180)</f>
      </c>
      <c r="Y187" s="158"/>
      <c r="Z187" s="158"/>
      <c r="AA187" s="158"/>
      <c r="AB187" s="158"/>
      <c r="AC187" s="158"/>
      <c r="AD187" s="158"/>
      <c r="AE187" s="158"/>
      <c r="AF187" s="158"/>
      <c r="AG187" s="158"/>
      <c r="AH187" s="158"/>
      <c r="AI187" s="158"/>
      <c r="AJ187" s="158"/>
      <c r="AK187" s="158">
        <v>12</v>
      </c>
      <c r="AL187" s="158" t="s">
        <v>213</v>
      </c>
      <c r="AM187" s="158"/>
    </row>
    <row r="188" spans="24:39" ht="12.75" hidden="1">
      <c r="X188" s="158" t="str">
        <f>TRIM(X184&amp;" "&amp;X185&amp;" "&amp;X186&amp;" "&amp;X187)&amp;" only"</f>
        <v> only</v>
      </c>
      <c r="Y188" s="158"/>
      <c r="Z188" s="158"/>
      <c r="AA188" s="158"/>
      <c r="AB188" s="158"/>
      <c r="AC188" s="158"/>
      <c r="AD188" s="158"/>
      <c r="AE188" s="158"/>
      <c r="AF188" s="158"/>
      <c r="AG188" s="158"/>
      <c r="AH188" s="158"/>
      <c r="AI188" s="158"/>
      <c r="AJ188" s="158"/>
      <c r="AK188" s="158">
        <v>13</v>
      </c>
      <c r="AL188" s="158" t="s">
        <v>214</v>
      </c>
      <c r="AM188" s="158"/>
    </row>
    <row r="189" spans="24:39" ht="12.75" hidden="1">
      <c r="X189" s="158"/>
      <c r="Y189" s="158"/>
      <c r="Z189" s="158"/>
      <c r="AA189" s="158"/>
      <c r="AB189" s="158"/>
      <c r="AC189" s="158"/>
      <c r="AD189" s="158"/>
      <c r="AE189" s="158"/>
      <c r="AF189" s="158"/>
      <c r="AG189" s="158"/>
      <c r="AH189" s="158"/>
      <c r="AI189" s="158"/>
      <c r="AJ189" s="158"/>
      <c r="AK189" s="158">
        <v>14</v>
      </c>
      <c r="AL189" s="158" t="s">
        <v>215</v>
      </c>
      <c r="AM189" s="158"/>
    </row>
    <row r="190" spans="24:39" ht="12.75" hidden="1">
      <c r="X190" s="158"/>
      <c r="Y190" s="158"/>
      <c r="Z190" s="158"/>
      <c r="AA190" s="158"/>
      <c r="AB190" s="158"/>
      <c r="AC190" s="158"/>
      <c r="AD190" s="158"/>
      <c r="AE190" s="158"/>
      <c r="AF190" s="158"/>
      <c r="AG190" s="158"/>
      <c r="AH190" s="158"/>
      <c r="AI190" s="158"/>
      <c r="AJ190" s="158"/>
      <c r="AK190" s="158">
        <v>15</v>
      </c>
      <c r="AL190" s="158" t="s">
        <v>216</v>
      </c>
      <c r="AM190" s="158"/>
    </row>
    <row r="191" spans="24:39" ht="12.75" hidden="1">
      <c r="X191" s="158"/>
      <c r="Y191" s="158"/>
      <c r="Z191" s="158"/>
      <c r="AA191" s="158"/>
      <c r="AB191" s="158"/>
      <c r="AC191" s="158"/>
      <c r="AD191" s="158"/>
      <c r="AE191" s="158"/>
      <c r="AF191" s="158"/>
      <c r="AG191" s="158"/>
      <c r="AH191" s="158"/>
      <c r="AI191" s="158"/>
      <c r="AJ191" s="158"/>
      <c r="AK191" s="158">
        <v>16</v>
      </c>
      <c r="AL191" s="158" t="s">
        <v>217</v>
      </c>
      <c r="AM191" s="158"/>
    </row>
    <row r="192" spans="24:39" ht="12.75" hidden="1">
      <c r="X192" s="158"/>
      <c r="Y192" s="158"/>
      <c r="Z192" s="158"/>
      <c r="AA192" s="158"/>
      <c r="AB192" s="158"/>
      <c r="AC192" s="158"/>
      <c r="AD192" s="158"/>
      <c r="AE192" s="158"/>
      <c r="AF192" s="158"/>
      <c r="AG192" s="158"/>
      <c r="AH192" s="158"/>
      <c r="AI192" s="158"/>
      <c r="AJ192" s="158"/>
      <c r="AK192" s="158">
        <v>17</v>
      </c>
      <c r="AL192" s="158" t="s">
        <v>218</v>
      </c>
      <c r="AM192" s="158"/>
    </row>
    <row r="193" spans="24:39" ht="12.75" hidden="1">
      <c r="X193" s="158"/>
      <c r="Y193" s="158"/>
      <c r="Z193" s="158"/>
      <c r="AA193" s="158"/>
      <c r="AB193" s="158"/>
      <c r="AC193" s="158"/>
      <c r="AD193" s="158"/>
      <c r="AE193" s="158"/>
      <c r="AF193" s="158"/>
      <c r="AG193" s="158"/>
      <c r="AH193" s="158"/>
      <c r="AI193" s="158"/>
      <c r="AJ193" s="158"/>
      <c r="AK193" s="158">
        <v>18</v>
      </c>
      <c r="AL193" s="158" t="s">
        <v>219</v>
      </c>
      <c r="AM193" s="158"/>
    </row>
    <row r="194" spans="24:39" ht="12.75" hidden="1">
      <c r="X194" s="158"/>
      <c r="Y194" s="158"/>
      <c r="Z194" s="158"/>
      <c r="AA194" s="158"/>
      <c r="AB194" s="158"/>
      <c r="AC194" s="158"/>
      <c r="AD194" s="158"/>
      <c r="AE194" s="158"/>
      <c r="AF194" s="158"/>
      <c r="AG194" s="158"/>
      <c r="AH194" s="158"/>
      <c r="AI194" s="158"/>
      <c r="AJ194" s="158"/>
      <c r="AK194" s="158">
        <v>19</v>
      </c>
      <c r="AL194" s="158" t="s">
        <v>220</v>
      </c>
      <c r="AM194" s="158"/>
    </row>
    <row r="195" spans="24:39" ht="12.75" hidden="1">
      <c r="X195" s="158"/>
      <c r="Y195" s="158"/>
      <c r="Z195" s="158"/>
      <c r="AA195" s="158"/>
      <c r="AB195" s="158"/>
      <c r="AC195" s="158"/>
      <c r="AD195" s="158"/>
      <c r="AE195" s="158"/>
      <c r="AF195" s="158"/>
      <c r="AG195" s="158"/>
      <c r="AH195" s="158"/>
      <c r="AI195" s="158"/>
      <c r="AJ195" s="158"/>
      <c r="AK195" s="158">
        <v>20</v>
      </c>
      <c r="AL195" s="158" t="s">
        <v>196</v>
      </c>
      <c r="AM195" s="158"/>
    </row>
    <row r="196" spans="24:39" ht="12.75" hidden="1">
      <c r="X196" s="158"/>
      <c r="Y196" s="158"/>
      <c r="Z196" s="158"/>
      <c r="AA196" s="158"/>
      <c r="AB196" s="158"/>
      <c r="AC196" s="158"/>
      <c r="AD196" s="158"/>
      <c r="AE196" s="158"/>
      <c r="AF196" s="158"/>
      <c r="AG196" s="158"/>
      <c r="AH196" s="158"/>
      <c r="AI196" s="158"/>
      <c r="AJ196" s="158"/>
      <c r="AK196" s="158">
        <v>30</v>
      </c>
      <c r="AL196" s="158" t="s">
        <v>198</v>
      </c>
      <c r="AM196" s="158"/>
    </row>
    <row r="197" spans="24:39" ht="12.75" hidden="1">
      <c r="X197" s="158"/>
      <c r="Y197" s="158"/>
      <c r="Z197" s="158"/>
      <c r="AA197" s="158"/>
      <c r="AB197" s="158"/>
      <c r="AC197" s="158"/>
      <c r="AD197" s="158"/>
      <c r="AE197" s="158"/>
      <c r="AF197" s="158"/>
      <c r="AG197" s="158"/>
      <c r="AH197" s="158"/>
      <c r="AI197" s="158"/>
      <c r="AJ197" s="158"/>
      <c r="AK197" s="158">
        <v>40</v>
      </c>
      <c r="AL197" s="158" t="s">
        <v>200</v>
      </c>
      <c r="AM197" s="158"/>
    </row>
    <row r="198" spans="24:39" ht="12.75" hidden="1">
      <c r="X198" s="158"/>
      <c r="Y198" s="158"/>
      <c r="Z198" s="158"/>
      <c r="AA198" s="158"/>
      <c r="AB198" s="158"/>
      <c r="AC198" s="158"/>
      <c r="AD198" s="158"/>
      <c r="AE198" s="158"/>
      <c r="AF198" s="158"/>
      <c r="AG198" s="158"/>
      <c r="AH198" s="158"/>
      <c r="AI198" s="158"/>
      <c r="AJ198" s="158"/>
      <c r="AK198" s="158">
        <v>50</v>
      </c>
      <c r="AL198" s="158" t="s">
        <v>202</v>
      </c>
      <c r="AM198" s="158"/>
    </row>
    <row r="199" spans="24:39" ht="12.75" hidden="1">
      <c r="X199" s="158"/>
      <c r="Y199" s="158"/>
      <c r="Z199" s="158"/>
      <c r="AA199" s="158"/>
      <c r="AB199" s="158"/>
      <c r="AC199" s="158"/>
      <c r="AD199" s="158"/>
      <c r="AE199" s="158"/>
      <c r="AF199" s="158"/>
      <c r="AG199" s="158"/>
      <c r="AH199" s="158"/>
      <c r="AI199" s="158"/>
      <c r="AJ199" s="158"/>
      <c r="AK199" s="158">
        <v>60</v>
      </c>
      <c r="AL199" s="158" t="s">
        <v>204</v>
      </c>
      <c r="AM199" s="158"/>
    </row>
    <row r="200" spans="24:39" ht="12.75" hidden="1">
      <c r="X200" s="158"/>
      <c r="Y200" s="158"/>
      <c r="Z200" s="158"/>
      <c r="AA200" s="158"/>
      <c r="AB200" s="158"/>
      <c r="AC200" s="158"/>
      <c r="AD200" s="158"/>
      <c r="AE200" s="158"/>
      <c r="AF200" s="158"/>
      <c r="AG200" s="158"/>
      <c r="AH200" s="158"/>
      <c r="AI200" s="158"/>
      <c r="AJ200" s="158"/>
      <c r="AK200" s="158">
        <v>70</v>
      </c>
      <c r="AL200" s="158" t="s">
        <v>206</v>
      </c>
      <c r="AM200" s="158"/>
    </row>
    <row r="201" spans="24:39" ht="12.75" hidden="1">
      <c r="X201" s="158"/>
      <c r="Y201" s="158"/>
      <c r="Z201" s="158"/>
      <c r="AA201" s="158"/>
      <c r="AB201" s="158"/>
      <c r="AC201" s="158"/>
      <c r="AD201" s="158"/>
      <c r="AE201" s="158"/>
      <c r="AF201" s="158"/>
      <c r="AG201" s="158"/>
      <c r="AH201" s="158"/>
      <c r="AI201" s="158"/>
      <c r="AJ201" s="158"/>
      <c r="AK201" s="158">
        <v>80</v>
      </c>
      <c r="AL201" s="158" t="s">
        <v>208</v>
      </c>
      <c r="AM201" s="158"/>
    </row>
    <row r="202" spans="24:39" ht="12.75" hidden="1">
      <c r="X202" s="158"/>
      <c r="Y202" s="158"/>
      <c r="Z202" s="158"/>
      <c r="AA202" s="158"/>
      <c r="AB202" s="158"/>
      <c r="AC202" s="158"/>
      <c r="AD202" s="158"/>
      <c r="AE202" s="158"/>
      <c r="AF202" s="158"/>
      <c r="AG202" s="158"/>
      <c r="AH202" s="158"/>
      <c r="AI202" s="158"/>
      <c r="AJ202" s="158"/>
      <c r="AK202" s="158">
        <v>90</v>
      </c>
      <c r="AL202" s="158" t="s">
        <v>210</v>
      </c>
      <c r="AM202" s="158"/>
    </row>
    <row r="203" ht="12.75" hidden="1">
      <c r="AJ203" s="88"/>
    </row>
    <row r="204" ht="12.75" hidden="1">
      <c r="AJ204" s="88"/>
    </row>
    <row r="205" ht="12.75" hidden="1">
      <c r="AJ205" s="88"/>
    </row>
    <row r="206" ht="12.75" hidden="1">
      <c r="AJ206" s="88"/>
    </row>
    <row r="207" ht="12.75" hidden="1">
      <c r="AJ207" s="88"/>
    </row>
    <row r="208" ht="12.75" hidden="1">
      <c r="AJ208" s="88"/>
    </row>
    <row r="209" ht="12.75" hidden="1">
      <c r="AJ209" s="88"/>
    </row>
    <row r="210" ht="12.75" hidden="1">
      <c r="AJ210" s="88"/>
    </row>
    <row r="211" ht="12.75" hidden="1">
      <c r="AJ211" s="88"/>
    </row>
    <row r="212" ht="12.75" hidden="1">
      <c r="AJ212" s="88"/>
    </row>
    <row r="213" ht="12.75" hidden="1">
      <c r="AJ213" s="88"/>
    </row>
    <row r="214" ht="12.75" hidden="1">
      <c r="AJ214" s="88"/>
    </row>
    <row r="215" ht="12.75" hidden="1">
      <c r="AJ215" s="88"/>
    </row>
    <row r="216" ht="12.75" hidden="1">
      <c r="AJ216" s="88"/>
    </row>
    <row r="217" ht="12.75" hidden="1">
      <c r="AJ217" s="88"/>
    </row>
    <row r="218" ht="12.75" hidden="1">
      <c r="AJ218" s="88"/>
    </row>
    <row r="219" ht="12.75" hidden="1">
      <c r="AJ219" s="88"/>
    </row>
    <row r="220" ht="12.75" hidden="1">
      <c r="AJ220" s="88"/>
    </row>
    <row r="221" ht="12.75" hidden="1">
      <c r="AJ221" s="88"/>
    </row>
    <row r="222" ht="12.75" hidden="1">
      <c r="AJ222" s="88"/>
    </row>
    <row r="223" ht="12.75" hidden="1">
      <c r="AJ223" s="88"/>
    </row>
    <row r="224" ht="12.75" hidden="1">
      <c r="AJ224" s="88"/>
    </row>
    <row r="225" ht="12.75" hidden="1">
      <c r="AJ225" s="88"/>
    </row>
    <row r="226" ht="12.75" hidden="1">
      <c r="AJ226" s="88"/>
    </row>
    <row r="227" ht="12.75" hidden="1">
      <c r="AJ227" s="88"/>
    </row>
    <row r="228" ht="12.75" hidden="1">
      <c r="AJ228" s="88"/>
    </row>
    <row r="229" ht="12.75" hidden="1">
      <c r="AJ229" s="88"/>
    </row>
    <row r="230" ht="12.75" hidden="1">
      <c r="AJ230" s="88"/>
    </row>
    <row r="231" ht="12.75" hidden="1">
      <c r="AJ231" s="88"/>
    </row>
    <row r="232" ht="12.75" hidden="1">
      <c r="AJ232" s="88"/>
    </row>
    <row r="233" ht="12.75" hidden="1">
      <c r="AJ233" s="88"/>
    </row>
    <row r="234" ht="12.75" hidden="1">
      <c r="AJ234" s="88"/>
    </row>
    <row r="235" ht="12.75" hidden="1">
      <c r="AJ235" s="88"/>
    </row>
    <row r="236" ht="12.75" hidden="1">
      <c r="AJ236" s="88"/>
    </row>
    <row r="237" ht="12.75" hidden="1">
      <c r="AJ237" s="88"/>
    </row>
    <row r="238" ht="12.75" hidden="1">
      <c r="AJ238" s="88"/>
    </row>
    <row r="239" ht="12.75" hidden="1">
      <c r="AJ239" s="88"/>
    </row>
    <row r="240" ht="12.75" hidden="1">
      <c r="AJ240" s="88"/>
    </row>
    <row r="241" ht="12.75" hidden="1">
      <c r="AJ241" s="88"/>
    </row>
    <row r="242" ht="12.75" hidden="1">
      <c r="AJ242" s="88"/>
    </row>
    <row r="243" ht="12.75" hidden="1">
      <c r="AJ243" s="88"/>
    </row>
    <row r="244" ht="12.75" hidden="1">
      <c r="AJ244" s="88"/>
    </row>
    <row r="245" ht="12.75">
      <c r="AJ245" s="88"/>
    </row>
    <row r="246" ht="12.75">
      <c r="AJ246" s="88"/>
    </row>
    <row r="247" ht="12.75">
      <c r="AJ247" s="88"/>
    </row>
    <row r="248" ht="12.75">
      <c r="AJ248" s="88"/>
    </row>
    <row r="249" ht="12.75">
      <c r="AJ249" s="88"/>
    </row>
    <row r="250" ht="12.75">
      <c r="AJ250" s="88"/>
    </row>
    <row r="251" ht="12.75">
      <c r="AJ251" s="88"/>
    </row>
    <row r="252" ht="12.75">
      <c r="AJ252" s="88"/>
    </row>
    <row r="253" ht="12.75">
      <c r="AJ253" s="88"/>
    </row>
    <row r="254" ht="12.75">
      <c r="AJ254" s="88"/>
    </row>
    <row r="255" ht="12.75">
      <c r="AJ255" s="88"/>
    </row>
    <row r="256" ht="12.75">
      <c r="AJ256" s="88"/>
    </row>
    <row r="257" ht="12.75">
      <c r="AJ257" s="88"/>
    </row>
    <row r="258" ht="12.75">
      <c r="AJ258" s="88"/>
    </row>
    <row r="259" ht="12.75">
      <c r="AJ259" s="88"/>
    </row>
    <row r="260" ht="12.75">
      <c r="AJ260" s="88"/>
    </row>
    <row r="261" ht="12.75">
      <c r="AJ261" s="88"/>
    </row>
    <row r="262" ht="12.75">
      <c r="AJ262" s="88"/>
    </row>
    <row r="263" ht="12.75">
      <c r="AJ263" s="88"/>
    </row>
    <row r="264" ht="12.75">
      <c r="AJ264" s="88"/>
    </row>
    <row r="265" ht="12.75">
      <c r="AJ265" s="88"/>
    </row>
    <row r="266" ht="12.75">
      <c r="AJ266" s="88"/>
    </row>
    <row r="267" ht="12.75">
      <c r="AJ267" s="88"/>
    </row>
    <row r="268" ht="12.75">
      <c r="AJ268" s="88"/>
    </row>
    <row r="269" ht="12.75">
      <c r="AJ269" s="88"/>
    </row>
    <row r="270" ht="12.75">
      <c r="AJ270" s="88"/>
    </row>
    <row r="271" ht="12.75">
      <c r="AJ271" s="88"/>
    </row>
    <row r="272" ht="12.75">
      <c r="AJ272" s="88"/>
    </row>
    <row r="273" ht="12.75">
      <c r="AJ273" s="88"/>
    </row>
    <row r="274" ht="12.75">
      <c r="AJ274" s="88"/>
    </row>
    <row r="275" ht="12.75">
      <c r="AJ275" s="88"/>
    </row>
    <row r="276" ht="12.75">
      <c r="AJ276" s="88"/>
    </row>
    <row r="277" ht="12.75">
      <c r="AJ277" s="88"/>
    </row>
    <row r="278" ht="12.75">
      <c r="AJ278" s="88"/>
    </row>
    <row r="279" ht="12.75">
      <c r="AJ279" s="88"/>
    </row>
    <row r="280" ht="12.75">
      <c r="AJ280" s="88"/>
    </row>
    <row r="281" ht="12.75">
      <c r="AJ281" s="88"/>
    </row>
    <row r="282" ht="12.75">
      <c r="AJ282" s="88"/>
    </row>
    <row r="283" ht="12.75">
      <c r="AJ283" s="88"/>
    </row>
    <row r="284" ht="12.75">
      <c r="AJ284" s="88"/>
    </row>
    <row r="285" ht="12.75">
      <c r="AJ285" s="88"/>
    </row>
    <row r="286" ht="12.75">
      <c r="AJ286" s="88"/>
    </row>
    <row r="287" ht="12.75">
      <c r="AJ287" s="88"/>
    </row>
    <row r="288" ht="12.75">
      <c r="AJ288" s="88"/>
    </row>
    <row r="289" ht="12.75">
      <c r="AJ289" s="88"/>
    </row>
    <row r="290" ht="12.75">
      <c r="AJ290" s="88"/>
    </row>
    <row r="291" ht="12.75">
      <c r="AJ291" s="88"/>
    </row>
    <row r="292" ht="12.75">
      <c r="AJ292" s="88"/>
    </row>
    <row r="293" ht="12.75">
      <c r="AJ293" s="88"/>
    </row>
    <row r="294" ht="12.75">
      <c r="AJ294" s="88"/>
    </row>
    <row r="295" ht="12.75">
      <c r="AJ295" s="88"/>
    </row>
    <row r="296" ht="12.75">
      <c r="AJ296" s="88"/>
    </row>
    <row r="297" ht="12.75">
      <c r="AJ297" s="88"/>
    </row>
    <row r="298" ht="12.75">
      <c r="AJ298" s="88"/>
    </row>
    <row r="299" ht="12.75">
      <c r="AJ299" s="88"/>
    </row>
    <row r="300" ht="12.75">
      <c r="AJ300" s="88"/>
    </row>
    <row r="301" ht="12.75">
      <c r="AJ301" s="88"/>
    </row>
    <row r="302" ht="12.75">
      <c r="AJ302" s="88"/>
    </row>
    <row r="303" ht="12.75">
      <c r="AJ303" s="88"/>
    </row>
    <row r="304" ht="12.75">
      <c r="AJ304" s="88"/>
    </row>
    <row r="305" ht="12.75">
      <c r="AJ305" s="88"/>
    </row>
    <row r="306" ht="12.75">
      <c r="AJ306" s="88"/>
    </row>
    <row r="307" ht="12.75">
      <c r="AJ307" s="88"/>
    </row>
    <row r="308" ht="12.75">
      <c r="AJ308" s="88"/>
    </row>
    <row r="309" ht="12.75">
      <c r="AJ309" s="88"/>
    </row>
    <row r="310" ht="12.75">
      <c r="AJ310" s="88"/>
    </row>
    <row r="311" ht="12.75">
      <c r="AJ311" s="88"/>
    </row>
    <row r="312" ht="12.75">
      <c r="AJ312" s="88"/>
    </row>
    <row r="313" ht="12.75">
      <c r="AJ313" s="88"/>
    </row>
    <row r="314" ht="12.75">
      <c r="AJ314" s="88"/>
    </row>
    <row r="315" ht="12.75">
      <c r="AJ315" s="88"/>
    </row>
    <row r="316" ht="12.75">
      <c r="AJ316" s="88"/>
    </row>
    <row r="317" ht="12.75">
      <c r="AJ317" s="88"/>
    </row>
    <row r="318" ht="12.75">
      <c r="AJ318" s="88"/>
    </row>
    <row r="319" ht="12.75">
      <c r="AJ319" s="88"/>
    </row>
    <row r="320" ht="12.75">
      <c r="AJ320" s="88"/>
    </row>
    <row r="321" ht="12.75">
      <c r="AJ321" s="88"/>
    </row>
    <row r="322" ht="12.75">
      <c r="AJ322" s="88"/>
    </row>
    <row r="323" ht="12.75">
      <c r="AJ323" s="88"/>
    </row>
    <row r="324" ht="12.75">
      <c r="AJ324" s="88"/>
    </row>
    <row r="325" ht="12.75">
      <c r="AJ325" s="88"/>
    </row>
    <row r="326" ht="12.75">
      <c r="AJ326" s="88"/>
    </row>
    <row r="327" ht="12.75">
      <c r="AJ327" s="88"/>
    </row>
    <row r="328" ht="12.75">
      <c r="AJ328" s="88"/>
    </row>
    <row r="329" ht="12.75">
      <c r="AJ329" s="88"/>
    </row>
    <row r="330" ht="12.75">
      <c r="AJ330" s="88"/>
    </row>
    <row r="331" ht="12.75">
      <c r="AJ331" s="88"/>
    </row>
    <row r="332" ht="12.75">
      <c r="AJ332" s="88"/>
    </row>
    <row r="333" ht="12.75">
      <c r="AJ333" s="88"/>
    </row>
    <row r="334" ht="12.75">
      <c r="AJ334" s="88"/>
    </row>
  </sheetData>
  <sheetProtection password="CF9E" sheet="1" selectLockedCells="1"/>
  <mergeCells count="70">
    <mergeCell ref="B48:P48"/>
    <mergeCell ref="B49:P49"/>
    <mergeCell ref="B50:P50"/>
    <mergeCell ref="B51:P51"/>
    <mergeCell ref="B52:P52"/>
    <mergeCell ref="N58:P58"/>
    <mergeCell ref="H40:K40"/>
    <mergeCell ref="H41:K41"/>
    <mergeCell ref="H42:K42"/>
    <mergeCell ref="B43:G43"/>
    <mergeCell ref="A44:K46"/>
    <mergeCell ref="M46:P46"/>
    <mergeCell ref="H32:K32"/>
    <mergeCell ref="H33:K33"/>
    <mergeCell ref="H34:K34"/>
    <mergeCell ref="H35:K35"/>
    <mergeCell ref="H36:K36"/>
    <mergeCell ref="A37:A42"/>
    <mergeCell ref="C37:F37"/>
    <mergeCell ref="H37:K37"/>
    <mergeCell ref="H38:K38"/>
    <mergeCell ref="H39:K39"/>
    <mergeCell ref="H20:K20"/>
    <mergeCell ref="P20:P21"/>
    <mergeCell ref="H22:L22"/>
    <mergeCell ref="H24:L24"/>
    <mergeCell ref="B27:D27"/>
    <mergeCell ref="B29:C30"/>
    <mergeCell ref="D29:D30"/>
    <mergeCell ref="E29:E30"/>
    <mergeCell ref="F29:F30"/>
    <mergeCell ref="G29:G30"/>
    <mergeCell ref="B18:C18"/>
    <mergeCell ref="H18:L19"/>
    <mergeCell ref="M18:M19"/>
    <mergeCell ref="N18:N19"/>
    <mergeCell ref="O18:O19"/>
    <mergeCell ref="P18:P19"/>
    <mergeCell ref="B16:C16"/>
    <mergeCell ref="H16:L16"/>
    <mergeCell ref="M16:M17"/>
    <mergeCell ref="N16:N17"/>
    <mergeCell ref="O16:O17"/>
    <mergeCell ref="P16:P17"/>
    <mergeCell ref="B12:C12"/>
    <mergeCell ref="D12:K12"/>
    <mergeCell ref="B13:C13"/>
    <mergeCell ref="O13:P13"/>
    <mergeCell ref="B14:C14"/>
    <mergeCell ref="H14:L14"/>
    <mergeCell ref="M14:M15"/>
    <mergeCell ref="N14:N15"/>
    <mergeCell ref="O14:O15"/>
    <mergeCell ref="P14:P15"/>
    <mergeCell ref="O9:P9"/>
    <mergeCell ref="B10:C10"/>
    <mergeCell ref="D10:K10"/>
    <mergeCell ref="O10:P10"/>
    <mergeCell ref="D11:K11"/>
    <mergeCell ref="O11:P11"/>
    <mergeCell ref="A1:Q1"/>
    <mergeCell ref="A2:Q2"/>
    <mergeCell ref="A3:Q3"/>
    <mergeCell ref="G5:K5"/>
    <mergeCell ref="N5:P5"/>
    <mergeCell ref="A6:A36"/>
    <mergeCell ref="O6:P6"/>
    <mergeCell ref="B7:D7"/>
    <mergeCell ref="O7:P7"/>
    <mergeCell ref="D9:K9"/>
  </mergeCells>
  <printOptions horizontalCentered="1"/>
  <pageMargins left="0.11811023622047245" right="0.11811023622047245" top="0.5511811023622047" bottom="0.3937007874015748" header="0.5118110236220472" footer="0.5118110236220472"/>
  <pageSetup fitToHeight="1" fitToWidth="1" horizontalDpi="180" verticalDpi="18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A44" sqref="A44:K46"/>
    </sheetView>
  </sheetViews>
  <sheetFormatPr defaultColWidth="9.140625" defaultRowHeight="12.75"/>
  <cols>
    <col min="1" max="2" width="9.140625" style="160" customWidth="1"/>
    <col min="3" max="3" width="8.57421875" style="160" customWidth="1"/>
    <col min="4" max="16384" width="9.140625" style="160" customWidth="1"/>
  </cols>
  <sheetData>
    <row r="1" spans="1:10" ht="13.5">
      <c r="A1" s="360" t="s">
        <v>221</v>
      </c>
      <c r="B1" s="360"/>
      <c r="C1" s="360"/>
      <c r="D1" s="360"/>
      <c r="E1" s="360"/>
      <c r="F1" s="360"/>
      <c r="G1" s="360"/>
      <c r="H1" s="360"/>
      <c r="I1" s="360"/>
      <c r="J1" s="360"/>
    </row>
    <row r="2" spans="1:10" ht="13.5">
      <c r="A2" s="161"/>
      <c r="B2" s="158"/>
      <c r="C2" s="158"/>
      <c r="D2" s="158"/>
      <c r="E2" s="158"/>
      <c r="F2" s="158"/>
      <c r="G2" s="158"/>
      <c r="H2" s="158"/>
      <c r="I2" s="158"/>
      <c r="J2" s="158"/>
    </row>
    <row r="3" spans="1:10" ht="13.5">
      <c r="A3" s="162">
        <v>1</v>
      </c>
      <c r="B3" s="163"/>
      <c r="C3" s="163"/>
      <c r="D3" s="158" t="s">
        <v>222</v>
      </c>
      <c r="E3" s="158"/>
      <c r="F3" s="158"/>
      <c r="G3" s="163"/>
      <c r="H3" s="163"/>
      <c r="I3" s="163"/>
      <c r="J3" s="158"/>
    </row>
    <row r="4" spans="1:10" ht="13.5">
      <c r="A4" s="161"/>
      <c r="B4" s="158"/>
      <c r="C4" s="158"/>
      <c r="D4" s="158"/>
      <c r="E4" s="158"/>
      <c r="F4" s="158"/>
      <c r="G4" s="158"/>
      <c r="H4" s="158"/>
      <c r="I4" s="158"/>
      <c r="J4" s="158"/>
    </row>
    <row r="5" spans="1:10" ht="13.5">
      <c r="A5" s="162">
        <v>2</v>
      </c>
      <c r="B5" s="163"/>
      <c r="C5" s="163"/>
      <c r="D5" s="164" t="s">
        <v>223</v>
      </c>
      <c r="E5" s="158"/>
      <c r="F5" s="158"/>
      <c r="G5" s="163"/>
      <c r="H5" s="163"/>
      <c r="I5" s="163"/>
      <c r="J5" s="158"/>
    </row>
    <row r="6" spans="1:10" ht="13.5">
      <c r="A6" s="161"/>
      <c r="B6" s="158"/>
      <c r="C6" s="158"/>
      <c r="D6" s="158"/>
      <c r="E6" s="158"/>
      <c r="F6" s="158"/>
      <c r="G6" s="158"/>
      <c r="H6" s="158"/>
      <c r="I6" s="158"/>
      <c r="J6" s="158"/>
    </row>
    <row r="7" spans="1:10" ht="13.5">
      <c r="A7" s="162">
        <v>3</v>
      </c>
      <c r="B7" s="158" t="s">
        <v>224</v>
      </c>
      <c r="C7" s="163"/>
      <c r="D7" s="163"/>
      <c r="E7" s="163"/>
      <c r="F7" s="164" t="s">
        <v>225</v>
      </c>
      <c r="G7" s="163"/>
      <c r="H7" s="163"/>
      <c r="I7" s="163"/>
      <c r="J7" s="158"/>
    </row>
    <row r="8" spans="1:10" ht="13.5">
      <c r="A8" s="161"/>
      <c r="B8" s="158"/>
      <c r="C8" s="158"/>
      <c r="D8" s="158"/>
      <c r="E8" s="158"/>
      <c r="F8" s="158"/>
      <c r="G8" s="158"/>
      <c r="H8" s="158"/>
      <c r="I8" s="158"/>
      <c r="J8" s="158"/>
    </row>
    <row r="9" spans="1:10" ht="13.5">
      <c r="A9" s="161"/>
      <c r="B9" s="158"/>
      <c r="C9" s="158"/>
      <c r="D9" s="158"/>
      <c r="E9" s="158"/>
      <c r="F9" s="158"/>
      <c r="G9" s="158"/>
      <c r="H9" s="158"/>
      <c r="I9" s="158"/>
      <c r="J9" s="158"/>
    </row>
    <row r="10" spans="1:10" ht="13.5">
      <c r="A10" s="161"/>
      <c r="B10" s="158"/>
      <c r="C10" s="158"/>
      <c r="D10" s="158"/>
      <c r="E10" s="158"/>
      <c r="F10" s="158"/>
      <c r="G10" s="158"/>
      <c r="H10" s="158"/>
      <c r="I10" s="158"/>
      <c r="J10" s="158"/>
    </row>
    <row r="11" spans="1:10" ht="13.5">
      <c r="A11" s="161"/>
      <c r="B11" s="158"/>
      <c r="C11" s="158"/>
      <c r="D11" s="158"/>
      <c r="E11" s="158"/>
      <c r="F11" s="158"/>
      <c r="G11" s="158"/>
      <c r="H11" s="158"/>
      <c r="I11" s="158"/>
      <c r="J11" s="158"/>
    </row>
    <row r="12" spans="1:12" ht="15.75" customHeight="1">
      <c r="A12" s="361" t="s">
        <v>226</v>
      </c>
      <c r="B12" s="361"/>
      <c r="C12" s="165" t="str">
        <f>'47 cover page'!H42&amp;"/-"</f>
        <v>146477/-</v>
      </c>
      <c r="D12" s="362" t="str">
        <f>"Rupees "&amp;'47 cover page'!A44</f>
        <v>Rupees One lakh Forty Six thousand Four hundred Seventy Seven only</v>
      </c>
      <c r="E12" s="362"/>
      <c r="F12" s="362"/>
      <c r="G12" s="362"/>
      <c r="H12" s="362"/>
      <c r="I12" s="362"/>
      <c r="J12" s="166"/>
      <c r="L12" s="167"/>
    </row>
    <row r="13" spans="1:10" ht="12.75" customHeight="1">
      <c r="A13" s="163"/>
      <c r="B13" s="163"/>
      <c r="C13" s="163"/>
      <c r="D13" s="363"/>
      <c r="E13" s="363"/>
      <c r="F13" s="363"/>
      <c r="G13" s="363"/>
      <c r="H13" s="363"/>
      <c r="I13" s="363"/>
      <c r="J13" s="166"/>
    </row>
    <row r="14" spans="1:10" ht="13.5">
      <c r="A14" s="161" t="s">
        <v>227</v>
      </c>
      <c r="B14" s="158"/>
      <c r="C14" s="158"/>
      <c r="D14" s="158"/>
      <c r="E14" s="158"/>
      <c r="F14" s="158"/>
      <c r="G14" s="158"/>
      <c r="H14" s="158"/>
      <c r="I14" s="158"/>
      <c r="J14" s="158"/>
    </row>
    <row r="15" spans="1:10" ht="13.5">
      <c r="A15" s="161"/>
      <c r="B15" s="158"/>
      <c r="C15" s="158"/>
      <c r="D15" s="158"/>
      <c r="E15" s="158"/>
      <c r="F15" s="158"/>
      <c r="G15" s="158"/>
      <c r="H15" s="158"/>
      <c r="I15" s="158"/>
      <c r="J15" s="158"/>
    </row>
    <row r="16" spans="1:10" ht="13.5">
      <c r="A16" s="161" t="s">
        <v>228</v>
      </c>
      <c r="B16" s="158"/>
      <c r="C16" s="158"/>
      <c r="D16" s="158"/>
      <c r="E16" s="158"/>
      <c r="F16" s="158"/>
      <c r="G16" s="158"/>
      <c r="H16" s="158"/>
      <c r="I16" s="158"/>
      <c r="J16" s="158"/>
    </row>
    <row r="17" spans="1:10" ht="13.5">
      <c r="A17" s="161"/>
      <c r="B17" s="158"/>
      <c r="C17" s="158"/>
      <c r="D17" s="158"/>
      <c r="E17" s="158"/>
      <c r="F17" s="158"/>
      <c r="G17" s="158"/>
      <c r="H17" s="158"/>
      <c r="I17" s="158"/>
      <c r="J17" s="158"/>
    </row>
    <row r="18" spans="1:10" ht="13.5">
      <c r="A18" s="161"/>
      <c r="B18" s="158"/>
      <c r="C18" s="158"/>
      <c r="D18" s="158"/>
      <c r="E18" s="158"/>
      <c r="F18" s="158"/>
      <c r="G18" s="158"/>
      <c r="H18" s="158"/>
      <c r="I18" s="158"/>
      <c r="J18" s="158"/>
    </row>
    <row r="19" spans="1:10" ht="13.5">
      <c r="A19" s="161"/>
      <c r="B19" s="158"/>
      <c r="C19" s="158"/>
      <c r="D19" s="158"/>
      <c r="E19" s="158"/>
      <c r="F19" s="158"/>
      <c r="G19" s="158"/>
      <c r="H19" s="158"/>
      <c r="I19" s="158"/>
      <c r="J19" s="158"/>
    </row>
    <row r="20" spans="1:10" ht="13.5">
      <c r="A20" s="161"/>
      <c r="B20" s="158"/>
      <c r="C20" s="158"/>
      <c r="D20" s="158"/>
      <c r="E20" s="158"/>
      <c r="F20" s="158"/>
      <c r="G20" s="158"/>
      <c r="H20" s="158"/>
      <c r="I20" s="158"/>
      <c r="J20" s="158"/>
    </row>
    <row r="21" spans="1:10" ht="13.5">
      <c r="A21" s="161"/>
      <c r="B21" s="158"/>
      <c r="C21" s="158"/>
      <c r="D21" s="158"/>
      <c r="E21" s="158"/>
      <c r="F21" s="158"/>
      <c r="G21" s="158"/>
      <c r="H21" s="158"/>
      <c r="I21" s="158"/>
      <c r="J21" s="158"/>
    </row>
    <row r="22" spans="1:10" ht="13.5">
      <c r="A22" s="161"/>
      <c r="B22" s="158"/>
      <c r="C22" s="158"/>
      <c r="D22" s="158"/>
      <c r="E22" s="158"/>
      <c r="F22" s="158"/>
      <c r="G22" s="158"/>
      <c r="H22" s="158"/>
      <c r="I22" s="158"/>
      <c r="J22" s="158"/>
    </row>
    <row r="23" spans="1:10" ht="13.5">
      <c r="A23" s="161" t="s">
        <v>229</v>
      </c>
      <c r="B23" s="158"/>
      <c r="C23" s="158"/>
      <c r="D23" s="158"/>
      <c r="E23" s="158"/>
      <c r="F23" s="158"/>
      <c r="G23" s="158"/>
      <c r="H23" s="158"/>
      <c r="I23" s="158"/>
      <c r="J23" s="158"/>
    </row>
    <row r="24" spans="1:10" ht="13.5">
      <c r="A24" s="161"/>
      <c r="B24" s="158"/>
      <c r="C24" s="158"/>
      <c r="D24" s="158"/>
      <c r="E24" s="158"/>
      <c r="F24" s="158"/>
      <c r="G24" s="158"/>
      <c r="H24" s="158"/>
      <c r="I24" s="158"/>
      <c r="J24" s="158"/>
    </row>
    <row r="25" ht="13.5">
      <c r="A25" s="168"/>
    </row>
    <row r="26" ht="13.5">
      <c r="A26" s="168"/>
    </row>
    <row r="27" ht="13.5">
      <c r="A27" s="168" t="s">
        <v>230</v>
      </c>
    </row>
    <row r="28" ht="13.5">
      <c r="A28" s="168" t="s">
        <v>231</v>
      </c>
    </row>
    <row r="29" ht="13.5">
      <c r="A29" s="168"/>
    </row>
    <row r="30" ht="13.5">
      <c r="A30" s="168"/>
    </row>
    <row r="31" ht="13.5">
      <c r="A31" s="168"/>
    </row>
    <row r="32" ht="13.5">
      <c r="A32" s="168"/>
    </row>
    <row r="33" ht="13.5">
      <c r="A33" s="168"/>
    </row>
    <row r="34" ht="13.5">
      <c r="A34" s="168"/>
    </row>
    <row r="35" ht="13.5">
      <c r="A35" s="168"/>
    </row>
    <row r="36" spans="5:8" ht="13.5">
      <c r="E36" s="168" t="s">
        <v>232</v>
      </c>
      <c r="H36" s="168" t="s">
        <v>233</v>
      </c>
    </row>
    <row r="37" ht="15">
      <c r="A37" s="169"/>
    </row>
  </sheetData>
  <sheetProtection password="DE4B" sheet="1" selectLockedCells="1"/>
  <mergeCells count="3">
    <mergeCell ref="A1:J1"/>
    <mergeCell ref="A12:B12"/>
    <mergeCell ref="D12:I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C140"/>
  <sheetViews>
    <sheetView showGridLines="0" zoomScalePageLayoutView="0" workbookViewId="0" topLeftCell="C9">
      <selection activeCell="R9" sqref="R9:AC9"/>
    </sheetView>
  </sheetViews>
  <sheetFormatPr defaultColWidth="9.140625" defaultRowHeight="12.75"/>
  <cols>
    <col min="1" max="1" width="11.7109375" style="171" customWidth="1"/>
    <col min="2" max="2" width="4.00390625" style="171" customWidth="1"/>
    <col min="3" max="3" width="0.42578125" style="171" customWidth="1"/>
    <col min="4" max="4" width="3.8515625" style="171" customWidth="1"/>
    <col min="5" max="5" width="0.42578125" style="171" customWidth="1"/>
    <col min="6" max="6" width="4.00390625" style="171" customWidth="1"/>
    <col min="7" max="7" width="0.42578125" style="171" customWidth="1"/>
    <col min="8" max="8" width="4.00390625" style="171" customWidth="1"/>
    <col min="9" max="9" width="0.42578125" style="171" customWidth="1"/>
    <col min="10" max="10" width="4.00390625" style="171" customWidth="1"/>
    <col min="11" max="11" width="1.7109375" style="171" customWidth="1"/>
    <col min="12" max="12" width="4.00390625" style="171" customWidth="1"/>
    <col min="13" max="13" width="0.42578125" style="171" customWidth="1"/>
    <col min="14" max="14" width="4.140625" style="171" customWidth="1"/>
    <col min="15" max="15" width="0.42578125" style="171" customWidth="1"/>
    <col min="16" max="16" width="1.7109375" style="171" customWidth="1"/>
    <col min="17" max="17" width="3.00390625" style="171" customWidth="1"/>
    <col min="18" max="18" width="1.7109375" style="171" customWidth="1"/>
    <col min="19" max="19" width="0.42578125" style="171" customWidth="1"/>
    <col min="20" max="20" width="4.00390625" style="171" customWidth="1"/>
    <col min="21" max="21" width="0.42578125" style="171" customWidth="1"/>
    <col min="22" max="22" width="4.00390625" style="171" customWidth="1"/>
    <col min="23" max="23" width="0.42578125" style="171" customWidth="1"/>
    <col min="24" max="24" width="1.28515625" style="171" customWidth="1"/>
    <col min="25" max="25" width="3.140625" style="171" customWidth="1"/>
    <col min="26" max="26" width="0.42578125" style="171" customWidth="1"/>
    <col min="27" max="27" width="0.85546875" style="171" customWidth="1"/>
    <col min="28" max="28" width="0.42578125" style="171" customWidth="1"/>
    <col min="29" max="29" width="2.8515625" style="171" customWidth="1"/>
    <col min="30" max="30" width="0.42578125" style="171" customWidth="1"/>
    <col min="31" max="31" width="0.85546875" style="171" customWidth="1"/>
    <col min="32" max="32" width="3.8515625" style="171" customWidth="1"/>
    <col min="33" max="33" width="1.1484375" style="171" customWidth="1"/>
    <col min="34" max="35" width="0" style="171" hidden="1" customWidth="1"/>
    <col min="36" max="36" width="7.8515625" style="171" customWidth="1"/>
    <col min="37" max="37" width="12.140625" style="171" customWidth="1"/>
    <col min="38" max="38" width="4.421875" style="171" hidden="1" customWidth="1"/>
    <col min="39" max="39" width="9.140625" style="171" customWidth="1"/>
    <col min="40" max="40" width="7.28125" style="171" customWidth="1"/>
    <col min="41" max="41" width="9.140625" style="171" customWidth="1"/>
    <col min="42" max="42" width="7.28125" style="171" customWidth="1"/>
    <col min="43" max="43" width="7.00390625" style="171" customWidth="1"/>
    <col min="44" max="44" width="7.421875" style="171" customWidth="1"/>
    <col min="45" max="45" width="12.28125" style="171" customWidth="1"/>
    <col min="46" max="49" width="9.140625" style="171" hidden="1" customWidth="1"/>
    <col min="50" max="50" width="9.140625" style="80" hidden="1" customWidth="1"/>
    <col min="51" max="51" width="12.421875" style="80" hidden="1" customWidth="1"/>
    <col min="52" max="52" width="9.57421875" style="80" hidden="1" customWidth="1"/>
    <col min="53" max="55" width="9.140625" style="80" hidden="1" customWidth="1"/>
    <col min="56" max="61" width="9.140625" style="171" hidden="1" customWidth="1"/>
    <col min="62" max="93" width="0" style="171" hidden="1" customWidth="1"/>
    <col min="94" max="16384" width="9.140625" style="171" customWidth="1"/>
  </cols>
  <sheetData>
    <row r="1" spans="1:51" ht="20.25">
      <c r="A1" s="364" t="s">
        <v>114</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170"/>
      <c r="AF1" s="170"/>
      <c r="AI1" s="171">
        <f>'[3]Annexure I'!E9</f>
        <v>14530</v>
      </c>
      <c r="AK1" s="365" t="s">
        <v>234</v>
      </c>
      <c r="AL1" s="365"/>
      <c r="AM1" s="365"/>
      <c r="AN1" s="365"/>
      <c r="AO1" s="365"/>
      <c r="AP1" s="365"/>
      <c r="AQ1" s="365"/>
      <c r="AR1" s="365"/>
      <c r="AY1" s="80" t="e">
        <f>'[1]bill'!#REF!</f>
        <v>#REF!</v>
      </c>
    </row>
    <row r="2" spans="1:51" ht="15" customHeight="1">
      <c r="A2" s="172"/>
      <c r="B2" s="172"/>
      <c r="C2" s="172"/>
      <c r="D2" s="172"/>
      <c r="E2" s="172"/>
      <c r="F2" s="172"/>
      <c r="G2" s="172"/>
      <c r="I2" s="172"/>
      <c r="J2" s="366" t="s">
        <v>235</v>
      </c>
      <c r="K2" s="367"/>
      <c r="L2" s="367"/>
      <c r="M2" s="367"/>
      <c r="N2" s="368"/>
      <c r="O2" s="172"/>
      <c r="P2" s="172"/>
      <c r="Q2" s="172"/>
      <c r="R2" s="172"/>
      <c r="AI2" s="171">
        <f>'[3]Annexure I'!E30</f>
        <v>691</v>
      </c>
      <c r="AK2" s="369" t="s">
        <v>236</v>
      </c>
      <c r="AL2" s="369"/>
      <c r="AM2" s="369"/>
      <c r="AN2" s="369"/>
      <c r="AO2" s="369"/>
      <c r="AP2" s="369"/>
      <c r="AQ2" s="369"/>
      <c r="AR2" s="369"/>
      <c r="AY2" s="80" t="e">
        <f>'[1]bill'!#REF!</f>
        <v>#REF!</v>
      </c>
    </row>
    <row r="3" spans="1:44" ht="12" customHeight="1">
      <c r="A3" s="172"/>
      <c r="B3" s="172"/>
      <c r="C3" s="172"/>
      <c r="D3" s="172"/>
      <c r="E3" s="172"/>
      <c r="F3" s="172"/>
      <c r="G3" s="172"/>
      <c r="H3" s="173"/>
      <c r="I3" s="173"/>
      <c r="J3" s="173"/>
      <c r="K3" s="173"/>
      <c r="L3" s="173"/>
      <c r="M3" s="173"/>
      <c r="N3" s="173"/>
      <c r="O3" s="173"/>
      <c r="P3" s="173"/>
      <c r="Q3" s="173"/>
      <c r="R3" s="173"/>
      <c r="AK3" s="369" t="s">
        <v>237</v>
      </c>
      <c r="AL3" s="369"/>
      <c r="AM3" s="369"/>
      <c r="AN3" s="369"/>
      <c r="AO3" s="369"/>
      <c r="AP3" s="369"/>
      <c r="AQ3" s="369"/>
      <c r="AR3" s="369"/>
    </row>
    <row r="4" spans="1:55" s="174" customFormat="1" ht="20.25" customHeight="1">
      <c r="A4" s="174" t="s">
        <v>238</v>
      </c>
      <c r="B4" s="175" t="str">
        <f>AX43</f>
        <v>0</v>
      </c>
      <c r="C4" s="176"/>
      <c r="D4" s="175" t="str">
        <f>AY43</f>
        <v>5</v>
      </c>
      <c r="E4" s="176"/>
      <c r="F4" s="175" t="str">
        <f>AZ43</f>
        <v>1</v>
      </c>
      <c r="G4" s="176"/>
      <c r="H4" s="175" t="str">
        <f>BA43</f>
        <v>2</v>
      </c>
      <c r="N4" s="177"/>
      <c r="O4" s="178"/>
      <c r="P4" s="178"/>
      <c r="Q4" s="178"/>
      <c r="R4" s="178"/>
      <c r="S4" s="178"/>
      <c r="T4" s="178"/>
      <c r="U4" s="178"/>
      <c r="V4" s="370" t="s">
        <v>239</v>
      </c>
      <c r="W4" s="370"/>
      <c r="X4" s="370"/>
      <c r="Y4" s="370"/>
      <c r="Z4" s="370"/>
      <c r="AA4" s="370"/>
      <c r="AB4" s="370"/>
      <c r="AC4" s="370"/>
      <c r="AD4" s="179"/>
      <c r="AE4" s="180"/>
      <c r="AF4" s="180"/>
      <c r="AS4" s="171"/>
      <c r="AT4" s="171"/>
      <c r="AU4" s="171"/>
      <c r="AV4" s="171"/>
      <c r="AW4" s="171"/>
      <c r="AX4" s="80"/>
      <c r="AY4" s="80"/>
      <c r="AZ4" s="80"/>
      <c r="BA4" s="80"/>
      <c r="BB4" s="80"/>
      <c r="BC4" s="80"/>
    </row>
    <row r="5" spans="1:55" s="174" customFormat="1" ht="19.5" customHeight="1">
      <c r="A5" s="181" t="s">
        <v>240</v>
      </c>
      <c r="B5" s="371" t="str">
        <f>data!C17</f>
        <v>STO, NUZVID</v>
      </c>
      <c r="C5" s="371"/>
      <c r="D5" s="371"/>
      <c r="E5" s="371"/>
      <c r="F5" s="371"/>
      <c r="G5" s="371"/>
      <c r="H5" s="371"/>
      <c r="I5" s="371"/>
      <c r="J5" s="371"/>
      <c r="K5" s="371"/>
      <c r="N5" s="182" t="s">
        <v>30</v>
      </c>
      <c r="O5" s="180"/>
      <c r="P5" s="180"/>
      <c r="Q5" s="180"/>
      <c r="R5" s="372"/>
      <c r="S5" s="372"/>
      <c r="T5" s="372"/>
      <c r="U5" s="372"/>
      <c r="V5" s="372"/>
      <c r="W5" s="372"/>
      <c r="X5" s="372"/>
      <c r="Y5" s="372"/>
      <c r="Z5" s="372"/>
      <c r="AA5" s="372"/>
      <c r="AB5" s="372"/>
      <c r="AC5" s="372"/>
      <c r="AD5" s="183"/>
      <c r="AE5" s="180"/>
      <c r="AF5" s="180"/>
      <c r="AK5" s="184" t="s">
        <v>241</v>
      </c>
      <c r="AL5" s="184"/>
      <c r="AM5" s="185" t="str">
        <f>B7</f>
        <v>05120308013</v>
      </c>
      <c r="AN5" s="171"/>
      <c r="AO5" s="171"/>
      <c r="AP5" s="186" t="str">
        <f>"Treasury / PAO Code  : "&amp;'47 cover page'!R12</f>
        <v>Treasury / PAO Code  : 0512</v>
      </c>
      <c r="AQ5" s="171"/>
      <c r="AR5" s="171"/>
      <c r="AS5" s="171"/>
      <c r="AT5" s="171"/>
      <c r="AU5" s="171"/>
      <c r="AV5" s="171"/>
      <c r="AW5" s="171"/>
      <c r="AX5" s="80"/>
      <c r="AY5" s="80"/>
      <c r="AZ5" s="80"/>
      <c r="BA5" s="80"/>
      <c r="BB5" s="80"/>
      <c r="BC5" s="80"/>
    </row>
    <row r="6" spans="2:55" s="174" customFormat="1" ht="6.75" customHeight="1">
      <c r="B6" s="180"/>
      <c r="C6" s="180"/>
      <c r="D6" s="180"/>
      <c r="E6" s="180"/>
      <c r="F6" s="180"/>
      <c r="G6" s="180"/>
      <c r="H6" s="180"/>
      <c r="N6" s="187"/>
      <c r="O6" s="180"/>
      <c r="P6" s="180"/>
      <c r="Q6" s="180"/>
      <c r="R6" s="180"/>
      <c r="S6" s="180"/>
      <c r="T6" s="180"/>
      <c r="U6" s="180"/>
      <c r="V6" s="188"/>
      <c r="W6" s="188"/>
      <c r="X6" s="188"/>
      <c r="Y6" s="188"/>
      <c r="Z6" s="188"/>
      <c r="AA6" s="188"/>
      <c r="AB6" s="188"/>
      <c r="AC6" s="188"/>
      <c r="AD6" s="183"/>
      <c r="AE6" s="180"/>
      <c r="AF6" s="180"/>
      <c r="AO6" s="171"/>
      <c r="AQ6" s="186"/>
      <c r="AR6" s="189"/>
      <c r="AS6" s="171"/>
      <c r="AT6" s="171"/>
      <c r="AU6" s="171"/>
      <c r="AV6" s="171"/>
      <c r="AW6" s="171"/>
      <c r="AX6" s="80"/>
      <c r="AY6" s="80"/>
      <c r="AZ6" s="80"/>
      <c r="BA6" s="80"/>
      <c r="BB6" s="80"/>
      <c r="BC6" s="80"/>
    </row>
    <row r="7" spans="1:55" s="174" customFormat="1" ht="24" customHeight="1">
      <c r="A7" s="174" t="s">
        <v>242</v>
      </c>
      <c r="B7" s="373" t="str">
        <f>data!C23</f>
        <v>05120308013</v>
      </c>
      <c r="C7" s="374"/>
      <c r="D7" s="374"/>
      <c r="E7" s="374"/>
      <c r="F7" s="374"/>
      <c r="G7" s="374"/>
      <c r="H7" s="375"/>
      <c r="N7" s="182" t="s">
        <v>120</v>
      </c>
      <c r="O7" s="180"/>
      <c r="P7" s="180"/>
      <c r="Q7" s="180"/>
      <c r="R7" s="180"/>
      <c r="S7" s="183"/>
      <c r="T7" s="376"/>
      <c r="U7" s="377"/>
      <c r="V7" s="377"/>
      <c r="W7" s="377"/>
      <c r="X7" s="377"/>
      <c r="Y7" s="377"/>
      <c r="Z7" s="377"/>
      <c r="AA7" s="377"/>
      <c r="AB7" s="377"/>
      <c r="AC7" s="378"/>
      <c r="AD7" s="183"/>
      <c r="AE7" s="180"/>
      <c r="AF7" s="180"/>
      <c r="AK7" s="190" t="s">
        <v>243</v>
      </c>
      <c r="AL7" s="186"/>
      <c r="AM7" s="379" t="str">
        <f>D9&amp;", "&amp;R9</f>
        <v>HEAD MASTER, SRRZPHS NUZVID</v>
      </c>
      <c r="AN7" s="379"/>
      <c r="AO7" s="379"/>
      <c r="AP7" s="380" t="s">
        <v>244</v>
      </c>
      <c r="AQ7" s="380"/>
      <c r="AR7" s="381" t="str">
        <f>B5</f>
        <v>STO, NUZVID</v>
      </c>
      <c r="AS7" s="381"/>
      <c r="AT7" s="171"/>
      <c r="AU7" s="171"/>
      <c r="AV7" s="171"/>
      <c r="AW7" s="171"/>
      <c r="AX7" s="80"/>
      <c r="AY7" s="80"/>
      <c r="AZ7" s="80"/>
      <c r="BA7" s="80"/>
      <c r="BB7" s="80"/>
      <c r="BC7" s="80"/>
    </row>
    <row r="8" spans="2:55" s="174" customFormat="1" ht="3.75" customHeight="1">
      <c r="B8" s="180"/>
      <c r="C8" s="180"/>
      <c r="D8" s="180"/>
      <c r="E8" s="180"/>
      <c r="F8" s="180"/>
      <c r="G8" s="180"/>
      <c r="H8" s="180"/>
      <c r="N8" s="191"/>
      <c r="O8" s="188"/>
      <c r="P8" s="188"/>
      <c r="Q8" s="188"/>
      <c r="R8" s="188"/>
      <c r="S8" s="188"/>
      <c r="T8" s="188"/>
      <c r="U8" s="188"/>
      <c r="V8" s="188"/>
      <c r="W8" s="188"/>
      <c r="X8" s="188"/>
      <c r="Y8" s="188"/>
      <c r="Z8" s="188"/>
      <c r="AA8" s="188"/>
      <c r="AB8" s="188"/>
      <c r="AC8" s="192"/>
      <c r="AD8" s="193"/>
      <c r="AE8" s="180"/>
      <c r="AF8" s="180"/>
      <c r="AK8" s="186"/>
      <c r="AL8" s="186"/>
      <c r="AM8" s="194"/>
      <c r="AN8" s="186"/>
      <c r="AO8" s="186"/>
      <c r="AP8" s="186"/>
      <c r="AQ8" s="186"/>
      <c r="AR8" s="186"/>
      <c r="AS8" s="171"/>
      <c r="AT8" s="171"/>
      <c r="AU8" s="171"/>
      <c r="AV8" s="171"/>
      <c r="AW8" s="171"/>
      <c r="AX8" s="80"/>
      <c r="AY8" s="80"/>
      <c r="AZ8" s="80"/>
      <c r="BA8" s="80"/>
      <c r="BB8" s="80"/>
      <c r="BC8" s="80"/>
    </row>
    <row r="9" spans="1:55" s="174" customFormat="1" ht="30.75" customHeight="1">
      <c r="A9" s="181" t="s">
        <v>245</v>
      </c>
      <c r="D9" s="382" t="str">
        <f>data!C20</f>
        <v>HEAD MASTER</v>
      </c>
      <c r="E9" s="382"/>
      <c r="F9" s="382"/>
      <c r="G9" s="382"/>
      <c r="H9" s="382"/>
      <c r="I9" s="382"/>
      <c r="J9" s="382"/>
      <c r="K9" s="195"/>
      <c r="L9" s="383" t="s">
        <v>246</v>
      </c>
      <c r="M9" s="383"/>
      <c r="N9" s="383"/>
      <c r="O9" s="383"/>
      <c r="P9" s="383"/>
      <c r="Q9" s="383"/>
      <c r="R9" s="384" t="str">
        <f>data!C21</f>
        <v>SRRZPHS NUZVID</v>
      </c>
      <c r="S9" s="384"/>
      <c r="T9" s="384"/>
      <c r="U9" s="384"/>
      <c r="V9" s="384"/>
      <c r="W9" s="384"/>
      <c r="X9" s="384"/>
      <c r="Y9" s="384"/>
      <c r="Z9" s="384"/>
      <c r="AA9" s="384"/>
      <c r="AB9" s="384"/>
      <c r="AC9" s="384"/>
      <c r="AK9" s="171" t="s">
        <v>247</v>
      </c>
      <c r="AL9" s="171"/>
      <c r="AM9" s="171"/>
      <c r="AN9" s="171"/>
      <c r="AO9" s="171"/>
      <c r="AP9" s="171"/>
      <c r="AQ9" s="171"/>
      <c r="AR9" s="171"/>
      <c r="AS9" s="171"/>
      <c r="AT9" s="171"/>
      <c r="AU9" s="171"/>
      <c r="AV9" s="171"/>
      <c r="AW9" s="171"/>
      <c r="AX9" s="80"/>
      <c r="AY9" s="80"/>
      <c r="AZ9" s="80"/>
      <c r="BA9" s="80"/>
      <c r="BB9" s="80"/>
      <c r="BC9" s="80"/>
    </row>
    <row r="10" spans="4:55" s="174" customFormat="1" ht="6" customHeight="1">
      <c r="D10" s="180"/>
      <c r="E10" s="180"/>
      <c r="F10" s="180"/>
      <c r="G10" s="180"/>
      <c r="H10" s="180"/>
      <c r="AL10" s="171"/>
      <c r="AM10" s="171"/>
      <c r="AN10" s="171"/>
      <c r="AO10" s="171"/>
      <c r="AP10" s="171"/>
      <c r="AQ10" s="171"/>
      <c r="AR10" s="171"/>
      <c r="AS10" s="171"/>
      <c r="AT10" s="171"/>
      <c r="AU10" s="171"/>
      <c r="AV10" s="171"/>
      <c r="AW10" s="171"/>
      <c r="AX10" s="80"/>
      <c r="AY10" s="80"/>
      <c r="AZ10" s="80"/>
      <c r="BA10" s="80"/>
      <c r="BB10" s="80"/>
      <c r="BC10" s="80"/>
    </row>
    <row r="11" spans="1:55" s="174" customFormat="1" ht="24" customHeight="1">
      <c r="A11" s="174" t="s">
        <v>248</v>
      </c>
      <c r="D11" s="373" t="str">
        <f>data!C25</f>
        <v>0889</v>
      </c>
      <c r="E11" s="374"/>
      <c r="F11" s="374"/>
      <c r="G11" s="374"/>
      <c r="H11" s="375"/>
      <c r="J11" s="196" t="s">
        <v>249</v>
      </c>
      <c r="N11" s="385" t="str">
        <f>data!C26</f>
        <v>SBI NUZVID</v>
      </c>
      <c r="O11" s="386"/>
      <c r="P11" s="386"/>
      <c r="Q11" s="386"/>
      <c r="R11" s="386"/>
      <c r="S11" s="386"/>
      <c r="T11" s="386"/>
      <c r="U11" s="386"/>
      <c r="V11" s="386"/>
      <c r="W11" s="386"/>
      <c r="X11" s="386"/>
      <c r="Y11" s="386"/>
      <c r="Z11" s="386"/>
      <c r="AA11" s="386"/>
      <c r="AB11" s="386"/>
      <c r="AC11" s="386"/>
      <c r="AK11" s="171" t="s">
        <v>250</v>
      </c>
      <c r="AO11" s="171"/>
      <c r="AP11" s="171"/>
      <c r="AQ11" s="171"/>
      <c r="AR11" s="171"/>
      <c r="AS11" s="171"/>
      <c r="AT11" s="171"/>
      <c r="AU11" s="171"/>
      <c r="AV11" s="171"/>
      <c r="AW11" s="171"/>
      <c r="BB11" s="80"/>
      <c r="BC11" s="80"/>
    </row>
    <row r="12" spans="4:55" s="174" customFormat="1" ht="7.5" customHeight="1">
      <c r="D12" s="180"/>
      <c r="E12" s="180"/>
      <c r="F12" s="180"/>
      <c r="G12" s="180"/>
      <c r="H12" s="180"/>
      <c r="AO12" s="171"/>
      <c r="AP12" s="171"/>
      <c r="AQ12" s="171"/>
      <c r="AR12" s="171"/>
      <c r="AS12" s="171"/>
      <c r="AT12" s="171"/>
      <c r="AU12" s="171"/>
      <c r="AV12" s="171"/>
      <c r="AW12" s="171"/>
      <c r="BB12" s="80"/>
      <c r="BC12" s="80"/>
    </row>
    <row r="13" spans="1:55" s="174" customFormat="1" ht="20.25" customHeight="1">
      <c r="A13" s="174" t="s">
        <v>251</v>
      </c>
      <c r="D13" s="175">
        <f>'47 cover page'!D14</f>
        <v>2</v>
      </c>
      <c r="E13" s="176"/>
      <c r="F13" s="175">
        <f>'47 cover page'!E14</f>
        <v>0</v>
      </c>
      <c r="G13" s="176"/>
      <c r="H13" s="175">
        <f>'47 cover page'!F14</f>
        <v>7</v>
      </c>
      <c r="I13" s="176"/>
      <c r="J13" s="175">
        <f>'47 cover page'!G14</f>
        <v>1</v>
      </c>
      <c r="K13" s="176"/>
      <c r="L13" s="175">
        <f>'47 cover page'!D16</f>
        <v>0</v>
      </c>
      <c r="M13" s="176"/>
      <c r="N13" s="175">
        <f>'47 cover page'!E16</f>
        <v>1</v>
      </c>
      <c r="O13" s="176"/>
      <c r="P13" s="176"/>
      <c r="Q13" s="376">
        <f>'47 cover page'!D18</f>
        <v>1</v>
      </c>
      <c r="R13" s="378"/>
      <c r="S13" s="176"/>
      <c r="T13" s="175">
        <f>'47 cover page'!E18</f>
        <v>1</v>
      </c>
      <c r="U13" s="176"/>
      <c r="V13" s="175">
        <f>'47 cover page'!F18</f>
        <v>5</v>
      </c>
      <c r="W13" s="176"/>
      <c r="X13" s="176"/>
      <c r="Y13" s="376">
        <f>'47 cover page'!D20</f>
        <v>0</v>
      </c>
      <c r="Z13" s="377"/>
      <c r="AA13" s="378"/>
      <c r="AB13" s="197"/>
      <c r="AC13" s="376">
        <f>'47 cover page'!E20</f>
        <v>0</v>
      </c>
      <c r="AD13" s="377"/>
      <c r="AE13" s="378"/>
      <c r="AF13" s="198"/>
      <c r="AK13" s="199" t="s">
        <v>252</v>
      </c>
      <c r="AL13" s="200" t="s">
        <v>253</v>
      </c>
      <c r="AM13" s="200"/>
      <c r="AN13" s="201"/>
      <c r="AO13" s="171"/>
      <c r="AP13" s="171"/>
      <c r="AQ13" s="171"/>
      <c r="AR13" s="171"/>
      <c r="AS13" s="171"/>
      <c r="AT13" s="171"/>
      <c r="AU13" s="171"/>
      <c r="AV13" s="171"/>
      <c r="AW13" s="171"/>
      <c r="BB13" s="80"/>
      <c r="BC13" s="80"/>
    </row>
    <row r="14" spans="4:55" s="174" customFormat="1" ht="3.75" customHeight="1">
      <c r="D14" s="180"/>
      <c r="F14" s="180"/>
      <c r="H14" s="180"/>
      <c r="J14" s="180"/>
      <c r="L14" s="180"/>
      <c r="N14" s="180"/>
      <c r="Q14" s="180"/>
      <c r="R14" s="180"/>
      <c r="T14" s="180"/>
      <c r="V14" s="180"/>
      <c r="Y14" s="180"/>
      <c r="Z14" s="180"/>
      <c r="AA14" s="180"/>
      <c r="AB14" s="180"/>
      <c r="AC14" s="180"/>
      <c r="AD14" s="180"/>
      <c r="AE14" s="180"/>
      <c r="AF14" s="180"/>
      <c r="AT14" s="171"/>
      <c r="AU14" s="171"/>
      <c r="AV14" s="171"/>
      <c r="AW14" s="171"/>
      <c r="BB14" s="80"/>
      <c r="BC14" s="80"/>
    </row>
    <row r="15" spans="4:55" s="174" customFormat="1" ht="12" customHeight="1">
      <c r="D15" s="389" t="s">
        <v>254</v>
      </c>
      <c r="E15" s="389"/>
      <c r="F15" s="389"/>
      <c r="G15" s="389"/>
      <c r="H15" s="389"/>
      <c r="I15" s="389"/>
      <c r="J15" s="389"/>
      <c r="L15" s="389" t="s">
        <v>255</v>
      </c>
      <c r="M15" s="390"/>
      <c r="N15" s="390"/>
      <c r="Q15" s="387" t="s">
        <v>256</v>
      </c>
      <c r="R15" s="388"/>
      <c r="S15" s="388"/>
      <c r="T15" s="388"/>
      <c r="U15" s="388"/>
      <c r="V15" s="388"/>
      <c r="Y15" s="387" t="s">
        <v>257</v>
      </c>
      <c r="Z15" s="388"/>
      <c r="AA15" s="388"/>
      <c r="AB15" s="388"/>
      <c r="AC15" s="388"/>
      <c r="AD15" s="388"/>
      <c r="AE15" s="198"/>
      <c r="AF15" s="198"/>
      <c r="AK15" s="395"/>
      <c r="AL15" s="395"/>
      <c r="AM15" s="395"/>
      <c r="AN15" s="395"/>
      <c r="AT15" s="171"/>
      <c r="AU15" s="171"/>
      <c r="AV15" s="171"/>
      <c r="AW15" s="171"/>
      <c r="BB15" s="80"/>
      <c r="BC15" s="80"/>
    </row>
    <row r="16" spans="4:55" s="174" customFormat="1" ht="5.25" customHeight="1">
      <c r="D16" s="180"/>
      <c r="F16" s="180"/>
      <c r="H16" s="180"/>
      <c r="J16" s="180"/>
      <c r="L16" s="180"/>
      <c r="N16" s="180"/>
      <c r="R16" s="180"/>
      <c r="T16" s="180"/>
      <c r="V16" s="180"/>
      <c r="Y16" s="180"/>
      <c r="AC16" s="180"/>
      <c r="AT16" s="171"/>
      <c r="AU16" s="171"/>
      <c r="AV16" s="171"/>
      <c r="AW16" s="171"/>
      <c r="BB16" s="80"/>
      <c r="BC16" s="80"/>
    </row>
    <row r="17" spans="6:55" s="174" customFormat="1" ht="20.25" customHeight="1">
      <c r="F17" s="175">
        <f>'47 cover page'!D22</f>
        <v>1</v>
      </c>
      <c r="G17" s="176"/>
      <c r="H17" s="175">
        <f>'47 cover page'!E22</f>
        <v>4</v>
      </c>
      <c r="I17" s="176"/>
      <c r="J17" s="176"/>
      <c r="K17" s="176"/>
      <c r="L17" s="175" t="str">
        <f>'47 cover page'!D24</f>
        <v>0</v>
      </c>
      <c r="M17" s="176"/>
      <c r="N17" s="175" t="str">
        <f>'47 cover page'!E24</f>
        <v>0</v>
      </c>
      <c r="O17" s="176"/>
      <c r="P17" s="376" t="str">
        <f>'47 cover page'!F24</f>
        <v>3</v>
      </c>
      <c r="Q17" s="378"/>
      <c r="R17" s="176"/>
      <c r="S17" s="176"/>
      <c r="T17" s="176"/>
      <c r="U17" s="176"/>
      <c r="V17" s="175">
        <v>0</v>
      </c>
      <c r="W17" s="176"/>
      <c r="X17" s="376">
        <v>0</v>
      </c>
      <c r="Y17" s="378"/>
      <c r="Z17" s="176"/>
      <c r="AA17" s="376">
        <v>0</v>
      </c>
      <c r="AB17" s="377"/>
      <c r="AC17" s="378"/>
      <c r="AK17" s="171"/>
      <c r="AL17" s="171"/>
      <c r="AM17" s="369" t="s">
        <v>258</v>
      </c>
      <c r="AN17" s="369"/>
      <c r="AO17" s="202"/>
      <c r="AP17" s="173" t="s">
        <v>259</v>
      </c>
      <c r="AQ17" s="203"/>
      <c r="AR17" s="204" t="s">
        <v>260</v>
      </c>
      <c r="AS17" s="205">
        <f>X24</f>
        <v>146477</v>
      </c>
      <c r="AT17" s="171"/>
      <c r="AU17" s="171"/>
      <c r="AV17" s="171"/>
      <c r="AW17" s="171"/>
      <c r="BB17" s="80"/>
      <c r="BC17" s="80"/>
    </row>
    <row r="18" spans="6:55" s="174" customFormat="1" ht="3.75" customHeight="1">
      <c r="F18" s="180"/>
      <c r="H18" s="180"/>
      <c r="L18" s="180"/>
      <c r="N18" s="180"/>
      <c r="P18" s="180"/>
      <c r="Q18" s="180"/>
      <c r="V18" s="180"/>
      <c r="X18" s="180"/>
      <c r="Y18" s="180"/>
      <c r="AA18" s="180"/>
      <c r="AB18" s="180"/>
      <c r="AC18" s="180"/>
      <c r="AK18" s="171"/>
      <c r="AL18" s="171"/>
      <c r="AM18" s="171"/>
      <c r="AN18" s="171"/>
      <c r="AO18" s="171"/>
      <c r="AP18" s="171"/>
      <c r="AQ18" s="171"/>
      <c r="AR18" s="171"/>
      <c r="AS18" s="171"/>
      <c r="AT18" s="171"/>
      <c r="AU18" s="171"/>
      <c r="AV18" s="171"/>
      <c r="AW18" s="171"/>
      <c r="BB18" s="80"/>
      <c r="BC18" s="80"/>
    </row>
    <row r="19" spans="6:55" s="174" customFormat="1" ht="12" customHeight="1">
      <c r="F19" s="387" t="s">
        <v>261</v>
      </c>
      <c r="G19" s="388"/>
      <c r="H19" s="388"/>
      <c r="L19" s="387" t="s">
        <v>262</v>
      </c>
      <c r="M19" s="388"/>
      <c r="N19" s="388"/>
      <c r="O19" s="388"/>
      <c r="P19" s="388"/>
      <c r="Q19" s="388"/>
      <c r="V19" s="387" t="s">
        <v>263</v>
      </c>
      <c r="W19" s="388"/>
      <c r="X19" s="388"/>
      <c r="Y19" s="388"/>
      <c r="Z19" s="388"/>
      <c r="AA19" s="388"/>
      <c r="AB19" s="388"/>
      <c r="AC19" s="388"/>
      <c r="AK19" s="362" t="str">
        <f>A26</f>
        <v>(Net Rupees One lakh Forty Six thousand Four hundred Seventy Seven only)</v>
      </c>
      <c r="AL19" s="362"/>
      <c r="AM19" s="362"/>
      <c r="AN19" s="362"/>
      <c r="AO19" s="362"/>
      <c r="AP19" s="362"/>
      <c r="AQ19" s="362"/>
      <c r="AR19" s="362"/>
      <c r="AS19" s="362"/>
      <c r="AT19" s="171"/>
      <c r="AU19" s="171"/>
      <c r="AV19" s="171"/>
      <c r="AW19" s="171"/>
      <c r="BB19" s="80"/>
      <c r="BC19" s="80"/>
    </row>
    <row r="20" spans="6:55" s="174" customFormat="1" ht="5.25" customHeight="1">
      <c r="F20" s="180"/>
      <c r="H20" s="180"/>
      <c r="L20" s="180"/>
      <c r="N20" s="180"/>
      <c r="P20" s="180"/>
      <c r="Q20" s="180"/>
      <c r="V20" s="180"/>
      <c r="X20" s="180"/>
      <c r="Y20" s="180"/>
      <c r="AA20" s="180"/>
      <c r="AB20" s="180"/>
      <c r="AC20" s="180"/>
      <c r="AK20" s="362"/>
      <c r="AL20" s="362"/>
      <c r="AM20" s="362"/>
      <c r="AN20" s="362"/>
      <c r="AO20" s="362"/>
      <c r="AP20" s="362"/>
      <c r="AQ20" s="362"/>
      <c r="AR20" s="362"/>
      <c r="AS20" s="362"/>
      <c r="AT20" s="171"/>
      <c r="AU20" s="171"/>
      <c r="AV20" s="171"/>
      <c r="AW20" s="171"/>
      <c r="BB20" s="80"/>
      <c r="BC20" s="80"/>
    </row>
    <row r="21" spans="1:55" s="174" customFormat="1" ht="12" customHeight="1">
      <c r="A21" s="206" t="s">
        <v>264</v>
      </c>
      <c r="B21" s="402" t="s">
        <v>147</v>
      </c>
      <c r="D21" s="207" t="s">
        <v>265</v>
      </c>
      <c r="J21" s="402" t="s">
        <v>149</v>
      </c>
      <c r="L21" s="206" t="s">
        <v>266</v>
      </c>
      <c r="V21" s="404">
        <v>2</v>
      </c>
      <c r="W21" s="208"/>
      <c r="X21" s="391">
        <v>2</v>
      </c>
      <c r="Y21" s="392"/>
      <c r="Z21" s="208"/>
      <c r="AA21" s="391">
        <v>0</v>
      </c>
      <c r="AB21" s="407"/>
      <c r="AC21" s="392"/>
      <c r="AD21" s="208"/>
      <c r="AE21" s="391">
        <v>2</v>
      </c>
      <c r="AF21" s="392"/>
      <c r="AG21" s="209"/>
      <c r="AK21" s="363"/>
      <c r="AL21" s="363"/>
      <c r="AM21" s="363"/>
      <c r="AN21" s="363"/>
      <c r="AO21" s="363"/>
      <c r="AP21" s="363"/>
      <c r="AQ21" s="363"/>
      <c r="AR21" s="363"/>
      <c r="AS21" s="363"/>
      <c r="AT21" s="171"/>
      <c r="AU21" s="171"/>
      <c r="AV21" s="171"/>
      <c r="AW21" s="171"/>
      <c r="BB21" s="80"/>
      <c r="BC21" s="80"/>
    </row>
    <row r="22" spans="1:55" s="174" customFormat="1" ht="16.5" customHeight="1">
      <c r="A22" s="206" t="s">
        <v>267</v>
      </c>
      <c r="B22" s="403"/>
      <c r="D22" s="207" t="s">
        <v>268</v>
      </c>
      <c r="J22" s="403"/>
      <c r="L22" s="206" t="s">
        <v>269</v>
      </c>
      <c r="V22" s="405"/>
      <c r="W22" s="208"/>
      <c r="X22" s="393"/>
      <c r="Y22" s="394"/>
      <c r="Z22" s="208"/>
      <c r="AA22" s="393"/>
      <c r="AB22" s="408"/>
      <c r="AC22" s="394"/>
      <c r="AD22" s="208"/>
      <c r="AE22" s="393"/>
      <c r="AF22" s="394"/>
      <c r="AG22" s="209"/>
      <c r="AK22" s="171" t="s">
        <v>270</v>
      </c>
      <c r="AL22" s="201"/>
      <c r="AM22" s="396"/>
      <c r="AN22" s="396"/>
      <c r="AO22" s="396"/>
      <c r="AP22" s="396"/>
      <c r="AQ22" s="396"/>
      <c r="AR22" s="210" t="s">
        <v>271</v>
      </c>
      <c r="AS22" s="171"/>
      <c r="AT22" s="171"/>
      <c r="AU22" s="171"/>
      <c r="AV22" s="171"/>
      <c r="AW22" s="171"/>
      <c r="BB22" s="80"/>
      <c r="BC22" s="80"/>
    </row>
    <row r="23" spans="37:55" s="174" customFormat="1" ht="18" customHeight="1">
      <c r="AK23" s="397" t="str">
        <f>data!C21</f>
        <v>SRRZPHS NUZVID</v>
      </c>
      <c r="AL23" s="397"/>
      <c r="AM23" s="397"/>
      <c r="AN23" s="397"/>
      <c r="AO23" s="171" t="s">
        <v>272</v>
      </c>
      <c r="AP23" s="171"/>
      <c r="AQ23" s="171"/>
      <c r="AR23" s="171"/>
      <c r="AS23" s="171"/>
      <c r="AT23" s="171"/>
      <c r="AU23" s="171"/>
      <c r="AV23" s="171"/>
      <c r="AW23" s="171"/>
      <c r="BB23" s="80"/>
      <c r="BC23" s="80"/>
    </row>
    <row r="24" spans="1:55" s="174" customFormat="1" ht="27" customHeight="1">
      <c r="A24" s="211" t="s">
        <v>273</v>
      </c>
      <c r="B24" s="398">
        <f>Bill!Q20</f>
        <v>146477</v>
      </c>
      <c r="C24" s="398"/>
      <c r="D24" s="398"/>
      <c r="E24" s="398"/>
      <c r="F24" s="398"/>
      <c r="G24" s="181"/>
      <c r="H24" s="399" t="s">
        <v>274</v>
      </c>
      <c r="I24" s="399"/>
      <c r="J24" s="399"/>
      <c r="K24" s="399"/>
      <c r="L24" s="399"/>
      <c r="M24" s="181"/>
      <c r="N24" s="398">
        <f>'47 cover page'!H41</f>
        <v>0</v>
      </c>
      <c r="O24" s="398"/>
      <c r="P24" s="398"/>
      <c r="Q24" s="398"/>
      <c r="R24" s="398"/>
      <c r="S24" s="181"/>
      <c r="T24" s="399" t="s">
        <v>275</v>
      </c>
      <c r="U24" s="399"/>
      <c r="V24" s="399"/>
      <c r="W24" s="181"/>
      <c r="X24" s="398">
        <f>B24-N24</f>
        <v>146477</v>
      </c>
      <c r="Y24" s="398"/>
      <c r="Z24" s="398"/>
      <c r="AA24" s="398"/>
      <c r="AB24" s="398"/>
      <c r="AC24" s="398"/>
      <c r="AD24" s="398"/>
      <c r="AE24" s="398"/>
      <c r="AF24" s="398"/>
      <c r="AK24" s="171" t="s">
        <v>276</v>
      </c>
      <c r="AL24" s="171"/>
      <c r="AM24" s="171"/>
      <c r="AN24" s="171"/>
      <c r="AO24" s="171"/>
      <c r="AP24" s="171"/>
      <c r="AQ24" s="171" t="s">
        <v>277</v>
      </c>
      <c r="AR24" s="171"/>
      <c r="AS24" s="171"/>
      <c r="AT24" s="171"/>
      <c r="AU24" s="171"/>
      <c r="AV24" s="171"/>
      <c r="AW24" s="171"/>
      <c r="BB24" s="80"/>
      <c r="BC24" s="80"/>
    </row>
    <row r="25" spans="1:55" s="174" customFormat="1" ht="10.5" customHeight="1">
      <c r="A25" s="211"/>
      <c r="B25" s="212"/>
      <c r="C25" s="212"/>
      <c r="D25" s="212"/>
      <c r="E25" s="212"/>
      <c r="F25" s="212"/>
      <c r="G25" s="181"/>
      <c r="H25" s="204"/>
      <c r="I25" s="204"/>
      <c r="J25" s="204"/>
      <c r="K25" s="204"/>
      <c r="L25" s="204"/>
      <c r="M25" s="181"/>
      <c r="N25" s="212"/>
      <c r="O25" s="212"/>
      <c r="P25" s="212"/>
      <c r="Q25" s="212"/>
      <c r="R25" s="212"/>
      <c r="S25" s="181"/>
      <c r="T25" s="204"/>
      <c r="U25" s="204"/>
      <c r="V25" s="204"/>
      <c r="W25" s="181"/>
      <c r="X25" s="212"/>
      <c r="Y25" s="212"/>
      <c r="Z25" s="212"/>
      <c r="AA25" s="212"/>
      <c r="AB25" s="212"/>
      <c r="AC25" s="212"/>
      <c r="AD25" s="212"/>
      <c r="AE25" s="212"/>
      <c r="AF25" s="212"/>
      <c r="AK25" s="171"/>
      <c r="AL25" s="171"/>
      <c r="AM25" s="171"/>
      <c r="AN25" s="171"/>
      <c r="AO25" s="171"/>
      <c r="AP25" s="171"/>
      <c r="AQ25" s="171"/>
      <c r="AR25" s="171"/>
      <c r="AS25" s="171"/>
      <c r="AT25" s="171"/>
      <c r="AU25" s="171"/>
      <c r="AV25" s="171"/>
      <c r="AW25" s="171"/>
      <c r="BB25" s="80"/>
      <c r="BC25" s="80"/>
    </row>
    <row r="26" spans="1:55" s="174" customFormat="1" ht="27.75" customHeight="1">
      <c r="A26" s="362" t="str">
        <f>"(Net Rupees "&amp;A114&amp;")"</f>
        <v>(Net Rupees One lakh Forty Six thousand Four hundred Seventy Seven only)</v>
      </c>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K26" s="171" t="s">
        <v>278</v>
      </c>
      <c r="AL26" s="171"/>
      <c r="AM26" s="171"/>
      <c r="AN26" s="171"/>
      <c r="AO26" s="171"/>
      <c r="AP26" s="171"/>
      <c r="AQ26" s="171" t="s">
        <v>278</v>
      </c>
      <c r="AR26" s="171"/>
      <c r="AS26" s="171"/>
      <c r="AT26" s="171"/>
      <c r="AU26" s="171"/>
      <c r="AV26" s="171"/>
      <c r="AW26" s="171"/>
      <c r="AX26" s="80"/>
      <c r="AY26" s="80"/>
      <c r="AZ26" s="80"/>
      <c r="BA26" s="80"/>
      <c r="BB26" s="80"/>
      <c r="BC26" s="80"/>
    </row>
    <row r="27" spans="1:55" s="174" customFormat="1" ht="3.75" customHeight="1">
      <c r="A27" s="363"/>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K27" s="171"/>
      <c r="AL27" s="171"/>
      <c r="AM27" s="171"/>
      <c r="AN27" s="171"/>
      <c r="AO27" s="171"/>
      <c r="AP27" s="171"/>
      <c r="AQ27" s="171"/>
      <c r="AR27" s="171"/>
      <c r="AS27" s="171"/>
      <c r="AT27" s="171"/>
      <c r="AU27" s="171"/>
      <c r="AV27" s="171"/>
      <c r="AW27" s="171"/>
      <c r="AX27" s="80"/>
      <c r="AY27" s="80"/>
      <c r="AZ27" s="80"/>
      <c r="BA27" s="80"/>
      <c r="BB27" s="80"/>
      <c r="BC27" s="80"/>
    </row>
    <row r="28" spans="1:55" s="174" customFormat="1" ht="20.25" customHeight="1">
      <c r="A28" s="181" t="s">
        <v>279</v>
      </c>
      <c r="D28" s="213"/>
      <c r="E28" s="213"/>
      <c r="F28" s="213"/>
      <c r="G28" s="213"/>
      <c r="H28" s="213"/>
      <c r="I28" s="213"/>
      <c r="J28" s="213"/>
      <c r="K28" s="213"/>
      <c r="L28" s="188"/>
      <c r="N28" s="214" t="s">
        <v>280</v>
      </c>
      <c r="T28" s="406"/>
      <c r="U28" s="406"/>
      <c r="V28" s="406"/>
      <c r="W28" s="406"/>
      <c r="X28" s="406"/>
      <c r="Y28" s="406"/>
      <c r="Z28" s="406"/>
      <c r="AA28" s="406"/>
      <c r="AB28" s="406"/>
      <c r="AC28" s="406"/>
      <c r="AD28" s="406"/>
      <c r="AE28" s="406"/>
      <c r="AF28" s="406"/>
      <c r="AK28" s="171"/>
      <c r="AL28" s="171"/>
      <c r="AM28" s="171"/>
      <c r="AN28" s="171"/>
      <c r="AO28" s="171"/>
      <c r="AP28" s="171"/>
      <c r="AQ28" s="171"/>
      <c r="AR28" s="171"/>
      <c r="AS28" s="171"/>
      <c r="AT28" s="171"/>
      <c r="AU28" s="171"/>
      <c r="AV28" s="171"/>
      <c r="AW28" s="171"/>
      <c r="AX28" s="80"/>
      <c r="AY28" s="80"/>
      <c r="AZ28" s="80"/>
      <c r="BA28" s="80"/>
      <c r="BB28" s="80"/>
      <c r="BC28" s="80"/>
    </row>
    <row r="29" spans="1:55" s="174" customFormat="1" ht="20.25" customHeight="1">
      <c r="A29" s="174" t="s">
        <v>281</v>
      </c>
      <c r="AK29" s="171"/>
      <c r="AL29" s="171"/>
      <c r="AM29" s="171"/>
      <c r="AN29" s="171"/>
      <c r="AO29" s="171"/>
      <c r="AP29" s="171"/>
      <c r="AQ29" s="171"/>
      <c r="AR29" s="171"/>
      <c r="AS29" s="171"/>
      <c r="AT29" s="171"/>
      <c r="AU29" s="171"/>
      <c r="AV29" s="171"/>
      <c r="AW29" s="171"/>
      <c r="AX29" s="80"/>
      <c r="AY29" s="80"/>
      <c r="AZ29" s="80"/>
      <c r="BA29" s="80"/>
      <c r="BB29" s="80"/>
      <c r="BC29" s="80"/>
    </row>
    <row r="30" spans="37:55" s="174" customFormat="1" ht="13.5" customHeight="1">
      <c r="AK30" s="369" t="s">
        <v>282</v>
      </c>
      <c r="AL30" s="369"/>
      <c r="AM30" s="171"/>
      <c r="AN30" s="171"/>
      <c r="AO30" s="171"/>
      <c r="AP30" s="171"/>
      <c r="AQ30" s="171"/>
      <c r="AR30" s="171"/>
      <c r="AS30" s="171"/>
      <c r="AT30" s="171"/>
      <c r="AU30" s="171"/>
      <c r="AV30" s="171"/>
      <c r="AW30" s="171"/>
      <c r="AX30" s="80"/>
      <c r="AY30" s="80"/>
      <c r="AZ30" s="80"/>
      <c r="BA30" s="80"/>
      <c r="BB30" s="80"/>
      <c r="BC30" s="80"/>
    </row>
    <row r="31" spans="1:55" s="174" customFormat="1" ht="20.25" customHeight="1">
      <c r="A31" s="174" t="s">
        <v>283</v>
      </c>
      <c r="F31" s="206" t="s">
        <v>284</v>
      </c>
      <c r="AK31" s="171"/>
      <c r="AL31" s="171"/>
      <c r="AM31" s="171"/>
      <c r="AN31" s="171"/>
      <c r="AO31" s="171"/>
      <c r="AP31" s="171"/>
      <c r="AQ31" s="171"/>
      <c r="AR31" s="171"/>
      <c r="AS31" s="171"/>
      <c r="AT31" s="171"/>
      <c r="AU31" s="171"/>
      <c r="AV31" s="171"/>
      <c r="AW31" s="171"/>
      <c r="AX31" s="80"/>
      <c r="AY31" s="134"/>
      <c r="AZ31" s="80"/>
      <c r="BA31" s="80"/>
      <c r="BB31" s="80"/>
      <c r="BC31" s="80"/>
    </row>
    <row r="32" spans="1:55" s="174" customFormat="1" ht="20.25" customHeight="1">
      <c r="A32" s="174" t="s">
        <v>285</v>
      </c>
      <c r="F32" s="206" t="s">
        <v>286</v>
      </c>
      <c r="AK32" s="171"/>
      <c r="AL32" s="171"/>
      <c r="AM32" s="171"/>
      <c r="AN32" s="171"/>
      <c r="AO32" s="171"/>
      <c r="AP32" s="171"/>
      <c r="AQ32" s="171"/>
      <c r="AR32" s="171"/>
      <c r="AS32" s="171"/>
      <c r="AT32" s="171"/>
      <c r="AU32" s="171"/>
      <c r="AV32" s="171"/>
      <c r="AW32" s="171"/>
      <c r="AX32" s="80"/>
      <c r="AY32" s="134"/>
      <c r="AZ32" s="80"/>
      <c r="BA32" s="80"/>
      <c r="BB32" s="80"/>
      <c r="BC32" s="80"/>
    </row>
    <row r="33" spans="37:55" s="174" customFormat="1" ht="11.25" customHeight="1" hidden="1">
      <c r="AK33" s="171"/>
      <c r="AL33" s="171"/>
      <c r="AM33" s="171"/>
      <c r="AN33" s="171"/>
      <c r="AO33" s="171"/>
      <c r="AP33" s="171"/>
      <c r="AQ33" s="171"/>
      <c r="AR33" s="171"/>
      <c r="AS33" s="171"/>
      <c r="AT33" s="171"/>
      <c r="AU33" s="171"/>
      <c r="AV33" s="171"/>
      <c r="AW33" s="171"/>
      <c r="AX33" s="80"/>
      <c r="AY33" s="80"/>
      <c r="AZ33" s="80"/>
      <c r="BA33" s="80"/>
      <c r="BB33" s="80"/>
      <c r="BC33" s="80"/>
    </row>
    <row r="34" spans="37:55" s="174" customFormat="1" ht="11.25" customHeight="1">
      <c r="AK34" s="171" t="s">
        <v>26</v>
      </c>
      <c r="AL34" s="171"/>
      <c r="AM34" s="171"/>
      <c r="AN34" s="171"/>
      <c r="AO34" s="171"/>
      <c r="AP34" s="171"/>
      <c r="AQ34" s="171" t="s">
        <v>276</v>
      </c>
      <c r="AR34" s="171"/>
      <c r="AS34" s="171"/>
      <c r="AT34" s="171"/>
      <c r="AU34" s="171"/>
      <c r="AV34" s="171"/>
      <c r="AW34" s="171"/>
      <c r="AX34" s="80"/>
      <c r="AY34" s="80"/>
      <c r="AZ34" s="80"/>
      <c r="BA34" s="80"/>
      <c r="BB34" s="80"/>
      <c r="BC34" s="80"/>
    </row>
    <row r="35" spans="37:55" s="174" customFormat="1" ht="11.25" customHeight="1">
      <c r="AK35" s="171"/>
      <c r="AL35" s="171"/>
      <c r="AM35" s="171"/>
      <c r="AN35" s="171"/>
      <c r="AO35" s="171"/>
      <c r="AP35" s="171"/>
      <c r="AQ35" s="171" t="s">
        <v>287</v>
      </c>
      <c r="AR35" s="171"/>
      <c r="AS35" s="171"/>
      <c r="AT35" s="171"/>
      <c r="AU35" s="171"/>
      <c r="AV35" s="171"/>
      <c r="AW35" s="171"/>
      <c r="AX35" s="80"/>
      <c r="AY35" s="80"/>
      <c r="AZ35" s="80"/>
      <c r="BA35" s="80"/>
      <c r="BB35" s="80"/>
      <c r="BC35" s="80"/>
    </row>
    <row r="36" spans="1:55" s="174" customFormat="1" ht="20.25" customHeight="1">
      <c r="A36" s="174" t="s">
        <v>288</v>
      </c>
      <c r="H36" s="400" t="s">
        <v>282</v>
      </c>
      <c r="I36" s="400"/>
      <c r="J36" s="400"/>
      <c r="K36" s="400"/>
      <c r="L36" s="400"/>
      <c r="M36" s="400"/>
      <c r="N36" s="400"/>
      <c r="V36" s="400" t="s">
        <v>289</v>
      </c>
      <c r="W36" s="400"/>
      <c r="X36" s="400"/>
      <c r="Y36" s="400"/>
      <c r="Z36" s="400"/>
      <c r="AA36" s="400"/>
      <c r="AB36" s="400"/>
      <c r="AC36" s="400"/>
      <c r="AD36" s="400"/>
      <c r="AE36" s="400"/>
      <c r="AF36" s="400"/>
      <c r="AX36" s="80"/>
      <c r="AY36" s="80"/>
      <c r="AZ36" s="80"/>
      <c r="BA36" s="80"/>
      <c r="BB36" s="80"/>
      <c r="BC36" s="80"/>
    </row>
    <row r="39" spans="6:17" ht="12.75">
      <c r="F39" s="401" t="s">
        <v>288</v>
      </c>
      <c r="G39" s="401"/>
      <c r="H39" s="401"/>
      <c r="I39" s="401"/>
      <c r="J39" s="401"/>
      <c r="K39" s="401"/>
      <c r="L39" s="401"/>
      <c r="M39" s="401"/>
      <c r="N39" s="401"/>
      <c r="O39" s="401"/>
      <c r="P39" s="401"/>
      <c r="Q39" s="401"/>
    </row>
    <row r="41" spans="50:53" ht="12.75">
      <c r="AX41" s="120"/>
      <c r="AY41" s="139" t="str">
        <f>data!C23</f>
        <v>05120308013</v>
      </c>
      <c r="AZ41" s="120"/>
      <c r="BA41" s="120"/>
    </row>
    <row r="42" spans="50:53" ht="12.75">
      <c r="AX42" s="120" t="str">
        <f>LEFT(AY41,4)</f>
        <v>0512</v>
      </c>
      <c r="AY42" s="120"/>
      <c r="AZ42" s="120"/>
      <c r="BA42" s="120"/>
    </row>
    <row r="43" spans="50:53" ht="12.75">
      <c r="AX43" s="120" t="str">
        <f>LEFT(AX42,1)</f>
        <v>0</v>
      </c>
      <c r="AY43" s="120" t="str">
        <f>RIGHT(LEFT(AX42,2),1)</f>
        <v>5</v>
      </c>
      <c r="AZ43" s="120" t="str">
        <f>LEFT(RIGHT(AX42,2),1)</f>
        <v>1</v>
      </c>
      <c r="BA43" s="120" t="str">
        <f>RIGHT(RIGHT(AX42,2),1)</f>
        <v>2</v>
      </c>
    </row>
    <row r="44" spans="50:53" ht="12.75">
      <c r="AX44" s="120"/>
      <c r="AY44" s="120">
        <f>'[1]data'!C26</f>
        <v>0</v>
      </c>
      <c r="AZ44" s="120"/>
      <c r="BA44" s="120"/>
    </row>
    <row r="45" spans="50:53" ht="12.75">
      <c r="AX45" s="120"/>
      <c r="AY45" s="120"/>
      <c r="AZ45" s="120"/>
      <c r="BA45" s="120"/>
    </row>
    <row r="46" spans="50:53" ht="12.75">
      <c r="AX46" s="120"/>
      <c r="AY46" s="120" t="str">
        <f>LEFT(AY44,9)</f>
        <v>0</v>
      </c>
      <c r="AZ46" s="120"/>
      <c r="BA46" s="120"/>
    </row>
    <row r="47" spans="50:53" ht="12.75">
      <c r="AX47" s="120"/>
      <c r="AY47" s="120"/>
      <c r="AZ47" s="120"/>
      <c r="BA47" s="120"/>
    </row>
    <row r="48" spans="50:53" ht="12.75">
      <c r="AX48" s="120" t="str">
        <f>RIGHT(AY46,3)</f>
        <v>0</v>
      </c>
      <c r="AY48" s="120" t="str">
        <f>RIGHT(AY46,3)</f>
        <v>0</v>
      </c>
      <c r="AZ48" s="120" t="str">
        <f>RIGHT(AY46,3)</f>
        <v>0</v>
      </c>
      <c r="BA48" s="120"/>
    </row>
    <row r="49" spans="50:53" ht="12.75">
      <c r="AX49" s="120"/>
      <c r="AY49" s="120"/>
      <c r="AZ49" s="120"/>
      <c r="BA49" s="120"/>
    </row>
    <row r="50" spans="1:53" s="80" customFormat="1" ht="12.75">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20" t="str">
        <f>LEFT(AX48,1)</f>
        <v>0</v>
      </c>
      <c r="AY50" s="120" t="str">
        <f>LEFT(RIGHT(AY48,2),1)</f>
        <v>0</v>
      </c>
      <c r="AZ50" s="120">
        <f>RIGHT(AZ48,1)*1</f>
        <v>0</v>
      </c>
      <c r="BA50" s="120"/>
    </row>
    <row r="51" spans="1:53" s="80" customFormat="1" ht="12.75">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20"/>
      <c r="AY51" s="120"/>
      <c r="AZ51" s="120"/>
      <c r="BA51" s="120" t="s">
        <v>140</v>
      </c>
    </row>
    <row r="52" spans="1:53" s="80" customFormat="1" ht="12.75">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20"/>
      <c r="AY52" s="120" t="str">
        <f>LEFT(AY46,6)</f>
        <v>0</v>
      </c>
      <c r="AZ52" s="120"/>
      <c r="BA52" s="120"/>
    </row>
    <row r="53" spans="50:53" ht="12.75">
      <c r="AX53" s="120"/>
      <c r="AY53" s="120"/>
      <c r="AZ53" s="120"/>
      <c r="BA53" s="120"/>
    </row>
    <row r="54" spans="1:53" s="80" customFormat="1" ht="12.75">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20" t="str">
        <f>LEFT(RIGHT(AY52,2),1)</f>
        <v>0</v>
      </c>
      <c r="AY54" s="120" t="str">
        <f>RIGHT(RIGHT(AY52,2),1)</f>
        <v>0</v>
      </c>
      <c r="AZ54" s="120"/>
      <c r="BA54" s="120"/>
    </row>
    <row r="92" spans="1:51" s="80" customFormat="1" ht="12.75">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58"/>
      <c r="AY92" s="158"/>
    </row>
    <row r="93" spans="1:51" s="80" customFormat="1" ht="12.75">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58"/>
      <c r="AY93" s="158"/>
    </row>
    <row r="94" spans="1:51" s="80" customFormat="1" ht="12.75">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58"/>
      <c r="AY94" s="158"/>
    </row>
    <row r="95" spans="1:51" s="80" customFormat="1" ht="12.75">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58"/>
      <c r="AY95" s="158"/>
    </row>
    <row r="96" spans="1:51" s="80" customFormat="1" ht="12.75">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58"/>
      <c r="AY96" s="158"/>
    </row>
    <row r="97" spans="1:51" s="80" customFormat="1" ht="12.75">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58"/>
      <c r="AY97" s="158"/>
    </row>
    <row r="98" spans="1:51" s="80" customFormat="1" ht="12.75">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58"/>
      <c r="AY98" s="158"/>
    </row>
    <row r="99" spans="1:51" s="80" customFormat="1" ht="12.75">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58"/>
      <c r="AY99" s="158"/>
    </row>
    <row r="100" spans="1:51" s="80" customFormat="1" ht="12.75">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58"/>
      <c r="AY100" s="158"/>
    </row>
    <row r="101" spans="1:51" s="80" customFormat="1" ht="12.75" hidden="1">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58"/>
      <c r="AY101" s="158"/>
    </row>
    <row r="102" spans="1:51" s="80" customFormat="1" ht="12.75" hidden="1">
      <c r="A102" s="215">
        <f>X24</f>
        <v>146477</v>
      </c>
      <c r="B102" s="216">
        <f>(A102-A105)/1000</f>
        <v>146</v>
      </c>
      <c r="C102" s="216"/>
      <c r="D102" s="216"/>
      <c r="E102" s="216"/>
      <c r="F102" s="216"/>
      <c r="G102" s="216"/>
      <c r="H102" s="216"/>
      <c r="I102" s="216"/>
      <c r="J102" s="216"/>
      <c r="K102" s="216"/>
      <c r="L102" s="216"/>
      <c r="M102" s="216"/>
      <c r="N102" s="216">
        <v>1</v>
      </c>
      <c r="O102" s="216" t="s">
        <v>194</v>
      </c>
      <c r="P102" s="216"/>
      <c r="Q102" s="216"/>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58"/>
      <c r="AY102" s="158"/>
    </row>
    <row r="103" spans="1:51" s="80" customFormat="1" ht="12.75" hidden="1">
      <c r="A103" s="216">
        <f>(B102-A104)/100</f>
        <v>1</v>
      </c>
      <c r="B103" s="216">
        <f>A103</f>
        <v>1</v>
      </c>
      <c r="C103" s="216">
        <f>RIGHT(B103,2)*1</f>
        <v>1</v>
      </c>
      <c r="D103" s="216">
        <f>(B103-C103)/100</f>
        <v>0</v>
      </c>
      <c r="E103" s="216">
        <f>(C103-RIGHT(C103,1)*1)/10</f>
        <v>0</v>
      </c>
      <c r="F103" s="216">
        <f>RIGHT(B103,1)*1</f>
        <v>1</v>
      </c>
      <c r="G103" s="216" t="str">
        <f>IF(E103=N103,P103,IF(E103=N104,P104,IF(E103=N105,P105,IF(E103=N106,P106,IF(E103=N107,P107,IF(E103=N108,P108,IF(E103=N109,P109,IF(E103=N110,P110," "))))))))</f>
        <v> </v>
      </c>
      <c r="H103" s="216" t="str">
        <f>IF(E103=1," ",IF(F103=N102,O102,IF(F103=N103,O103,IF(F103=N104,O104,IF(F103=N105,O105,IF(F103=N106,O106,IF(F103=N107,O107," ")))))))</f>
        <v>One</v>
      </c>
      <c r="I103" s="216" t="str">
        <f>IF(E103=1," ",IF(F103=N108,O108,IF(F103=N109,O109,IF(F103=N110,O110," "))))</f>
        <v> </v>
      </c>
      <c r="J103" s="216" t="str">
        <f>IF(E103=0," ",IF(E103&gt;1," ",IF(F103=N103,O113,IF(F103=N104,O114,IF(F103=N105,O115,IF(F103=N106,O116,IF(F103=N107,O117,IF(F103=N108,O118," "))))))))</f>
        <v> </v>
      </c>
      <c r="K103" s="216" t="str">
        <f>IF(E103=0," ",IF(E103&gt;1," ",IF(F103=N109,O119,IF(F103=N110,O120,IF(F103=N102,O112,IF(F103=0,O111," "))))))</f>
        <v> </v>
      </c>
      <c r="L103" s="216" t="str">
        <f>IF(E103=0," ","lakh")</f>
        <v> </v>
      </c>
      <c r="M103" s="216" t="str">
        <f>IF(F103=0," ",IF(E103&gt;0," ","lakh"))</f>
        <v>lakh</v>
      </c>
      <c r="N103" s="216">
        <v>2</v>
      </c>
      <c r="O103" s="216" t="s">
        <v>195</v>
      </c>
      <c r="P103" s="216" t="s">
        <v>196</v>
      </c>
      <c r="Q103" s="216"/>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58"/>
      <c r="AY103" s="158"/>
    </row>
    <row r="104" spans="1:51" s="80" customFormat="1" ht="12.75" hidden="1">
      <c r="A104" s="216">
        <f>RIGHT(B102,2)*1</f>
        <v>46</v>
      </c>
      <c r="B104" s="216">
        <f>A104</f>
        <v>46</v>
      </c>
      <c r="C104" s="216">
        <f>RIGHT(B104,2)*1</f>
        <v>46</v>
      </c>
      <c r="D104" s="216">
        <f>(B104-C104)/100</f>
        <v>0</v>
      </c>
      <c r="E104" s="216">
        <f>(C104-RIGHT(C104,1)*1)/10</f>
        <v>4</v>
      </c>
      <c r="F104" s="216">
        <f>RIGHT(B104,1)*1</f>
        <v>6</v>
      </c>
      <c r="G104" s="216" t="str">
        <f>IF(E104=N103,P103,IF(E104=N104,P104,IF(E104=N105,P105,IF(E104=N106,P106,IF(E104=N107,P107,IF(E104=N108,P108,IF(E104=N109,P109,IF(E104=N110,P110," "))))))))</f>
        <v>Forty </v>
      </c>
      <c r="H104" s="216" t="str">
        <f>IF(E104=1," ",IF(F104=N102,O102,IF(F104=N103,O103,IF(F104=N104,O104,IF(F104=N105,O105,IF(F104=N106,O106,IF(F104=N107,O107," ")))))))</f>
        <v>Six</v>
      </c>
      <c r="I104" s="216" t="str">
        <f>IF(E104=1," ",IF(F104=N108,O108,IF(F104=N109,O109,IF(F104=N110,O110," "))))</f>
        <v> </v>
      </c>
      <c r="J104" s="216" t="str">
        <f>IF(E104=0," ",IF(E104&gt;1," ",IF(F104=N103,O113,IF(F104=N104,O114,IF(F104=N105,O115,IF(F104=N106,O116,IF(F104=N107,O117,IF(F104=N108,O118," "))))))))</f>
        <v> </v>
      </c>
      <c r="K104" s="216" t="str">
        <f>IF(E104=0," ",IF(E104&gt;1," ",IF(F104=N109,O119,IF(F104=N110,O120,IF(F104=N102,O112,IF(F104=0,O111," "))))))</f>
        <v> </v>
      </c>
      <c r="L104" s="216" t="str">
        <f>IF(E104=0," ","thousand")</f>
        <v>thousand</v>
      </c>
      <c r="M104" s="216" t="str">
        <f>IF(F104=0," ",IF(E104&gt;0," ","thousand"))</f>
        <v> </v>
      </c>
      <c r="N104" s="216">
        <v>3</v>
      </c>
      <c r="O104" s="216" t="s">
        <v>197</v>
      </c>
      <c r="P104" s="216" t="s">
        <v>198</v>
      </c>
      <c r="Q104" s="216"/>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58"/>
      <c r="AY104" s="158"/>
    </row>
    <row r="105" spans="1:51" s="80" customFormat="1" ht="12.75" hidden="1">
      <c r="A105" s="216">
        <f>RIGHT(A102,3)*1</f>
        <v>477</v>
      </c>
      <c r="B105" s="216">
        <f>A105</f>
        <v>477</v>
      </c>
      <c r="C105" s="216">
        <f>ROUND((B105-D106)/100,0)</f>
        <v>4</v>
      </c>
      <c r="D105" s="216"/>
      <c r="E105" s="216"/>
      <c r="F105" s="216"/>
      <c r="G105" s="216"/>
      <c r="H105" s="216" t="str">
        <f>IF(C105=0," ",IF(C105=N102,O102,IF(C105=N103,O103,IF(C105=N104,O104,IF(C105=N105,O105,IF(C105=N106,O106,IF(C105=N107,O107," ")))))))</f>
        <v>Four</v>
      </c>
      <c r="I105" s="216" t="str">
        <f>IF(C105=0," ",IF(C105=N108,O108,IF(C105=N109,O109,IF(C105=N110,O110," "))))</f>
        <v> </v>
      </c>
      <c r="J105" s="216"/>
      <c r="K105" s="216"/>
      <c r="L105" s="216" t="str">
        <f>IF(C105=0," ","hundred")</f>
        <v>hundred</v>
      </c>
      <c r="M105" s="216"/>
      <c r="N105" s="216">
        <v>4</v>
      </c>
      <c r="O105" s="216" t="s">
        <v>199</v>
      </c>
      <c r="P105" s="216" t="s">
        <v>200</v>
      </c>
      <c r="Q105" s="216"/>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58"/>
      <c r="AY105" s="158"/>
    </row>
    <row r="106" spans="1:51" s="80" customFormat="1" ht="12.75" hidden="1">
      <c r="A106" s="216"/>
      <c r="B106" s="216"/>
      <c r="C106" s="216"/>
      <c r="D106" s="216">
        <f>RIGHT(B105,2)*1</f>
        <v>77</v>
      </c>
      <c r="E106" s="216">
        <f>(D106-RIGHT(D106,1)*1)/10</f>
        <v>7</v>
      </c>
      <c r="F106" s="216">
        <f>RIGHT(B105,1)*1</f>
        <v>7</v>
      </c>
      <c r="G106" s="216" t="str">
        <f>IF(E106=N103,P103,IF(E106=N104,P104,IF(E106=N105,P105,IF(E106=N106,P106,IF(E106=N107,P107,IF(E106=N108,P108,IF(E106=N109,P109,IF(E106=N110,P110," "))))))))</f>
        <v>Seventy </v>
      </c>
      <c r="H106" s="216" t="str">
        <f>IF(E106=1," ",IF(F106=N102,O102,IF(F106=N103,O103,IF(F106=N104,O104,IF(F106=N105,O105,IF(F106=N106,O106,IF(F106=N107,O107," ")))))))</f>
        <v> </v>
      </c>
      <c r="I106" s="216" t="str">
        <f>IF(E106=1," ",IF(F106=N108,O108,IF(F106=N109,O109,IF(F106=N110,O110," "))))</f>
        <v>Seven</v>
      </c>
      <c r="J106" s="216" t="str">
        <f>IF(E106=0," ",IF(E106&gt;1," ",IF(F106=N103,O113,IF(F106=N104,O114,IF(F106=N105,O115,IF(F106=N106,O116,IF(F106=O117,O107,IF(F106=N108,O118," "))))))))</f>
        <v> </v>
      </c>
      <c r="K106" s="216" t="str">
        <f>IF(E106=0," ",IF(E106&gt;1," ",IF(F106=N109,O119,IF(F106=N110,O120,IF(F106=N102,O112,IF(F106=0,O111," "))))))</f>
        <v> </v>
      </c>
      <c r="L106" s="216"/>
      <c r="M106" s="216"/>
      <c r="N106" s="216">
        <v>5</v>
      </c>
      <c r="O106" s="216" t="s">
        <v>201</v>
      </c>
      <c r="P106" s="216" t="s">
        <v>202</v>
      </c>
      <c r="Q106" s="216"/>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58"/>
      <c r="AY106" s="158"/>
    </row>
    <row r="107" spans="1:51" s="80" customFormat="1" ht="12.75" hidden="1">
      <c r="A107" s="216"/>
      <c r="B107" s="216"/>
      <c r="C107" s="216"/>
      <c r="D107" s="216"/>
      <c r="E107" s="216">
        <f>E106</f>
        <v>7</v>
      </c>
      <c r="F107" s="216">
        <f>F106</f>
        <v>7</v>
      </c>
      <c r="G107" s="216"/>
      <c r="H107" s="216"/>
      <c r="I107" s="216"/>
      <c r="J107" s="216"/>
      <c r="K107" s="216"/>
      <c r="L107" s="216"/>
      <c r="M107" s="216"/>
      <c r="N107" s="216">
        <v>6</v>
      </c>
      <c r="O107" s="216" t="s">
        <v>203</v>
      </c>
      <c r="P107" s="216" t="s">
        <v>204</v>
      </c>
      <c r="Q107" s="216"/>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58"/>
      <c r="AY107" s="158"/>
    </row>
    <row r="108" spans="1:51" s="80" customFormat="1" ht="12.75" hidden="1">
      <c r="A108" s="216"/>
      <c r="B108" s="216"/>
      <c r="C108" s="216"/>
      <c r="D108" s="216"/>
      <c r="E108" s="216"/>
      <c r="F108" s="216"/>
      <c r="G108" s="216"/>
      <c r="H108" s="216"/>
      <c r="I108" s="216"/>
      <c r="J108" s="216"/>
      <c r="K108" s="216"/>
      <c r="L108" s="216"/>
      <c r="M108" s="216"/>
      <c r="N108" s="216">
        <v>7</v>
      </c>
      <c r="O108" s="216" t="s">
        <v>205</v>
      </c>
      <c r="P108" s="216" t="s">
        <v>206</v>
      </c>
      <c r="Q108" s="216"/>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58"/>
      <c r="AY108" s="158"/>
    </row>
    <row r="109" spans="1:51" s="80" customFormat="1" ht="12.75" hidden="1">
      <c r="A109" s="216"/>
      <c r="B109" s="216"/>
      <c r="C109" s="216"/>
      <c r="D109" s="216"/>
      <c r="E109" s="216"/>
      <c r="F109" s="216"/>
      <c r="G109" s="216"/>
      <c r="H109" s="216"/>
      <c r="I109" s="216"/>
      <c r="J109" s="216"/>
      <c r="K109" s="216"/>
      <c r="L109" s="216"/>
      <c r="M109" s="216"/>
      <c r="N109" s="216">
        <v>8</v>
      </c>
      <c r="O109" s="216" t="s">
        <v>207</v>
      </c>
      <c r="P109" s="216" t="s">
        <v>208</v>
      </c>
      <c r="Q109" s="216"/>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58"/>
      <c r="AY109" s="158"/>
    </row>
    <row r="110" spans="1:51" s="80" customFormat="1" ht="12.75" hidden="1">
      <c r="A110" s="216" t="str">
        <f>TRIM(G103&amp;" "&amp;H103&amp;" "&amp;I103&amp;" "&amp;J103&amp;" "&amp;K103&amp;" "&amp;L103&amp;" "&amp;M103)</f>
        <v>One lakh</v>
      </c>
      <c r="B110" s="216"/>
      <c r="C110" s="216"/>
      <c r="D110" s="216"/>
      <c r="E110" s="216"/>
      <c r="F110" s="216"/>
      <c r="G110" s="216"/>
      <c r="H110" s="216"/>
      <c r="I110" s="216"/>
      <c r="J110" s="216"/>
      <c r="K110" s="216"/>
      <c r="L110" s="216"/>
      <c r="M110" s="216"/>
      <c r="N110" s="216">
        <v>9</v>
      </c>
      <c r="O110" s="216" t="s">
        <v>209</v>
      </c>
      <c r="P110" s="216" t="s">
        <v>210</v>
      </c>
      <c r="Q110" s="216"/>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58"/>
      <c r="AY110" s="158"/>
    </row>
    <row r="111" spans="1:51" s="80" customFormat="1" ht="12.75" hidden="1">
      <c r="A111" s="216" t="str">
        <f>TRIM(G104&amp;" "&amp;H104&amp;" "&amp;I104&amp;" "&amp;J104&amp;" "&amp;K104&amp;" "&amp;L104&amp;" "&amp;M104)</f>
        <v>Forty Six thousand</v>
      </c>
      <c r="B111" s="216"/>
      <c r="C111" s="216"/>
      <c r="D111" s="216"/>
      <c r="E111" s="216"/>
      <c r="F111" s="216"/>
      <c r="G111" s="216"/>
      <c r="H111" s="216"/>
      <c r="I111" s="216"/>
      <c r="J111" s="216"/>
      <c r="K111" s="216"/>
      <c r="L111" s="216"/>
      <c r="M111" s="216"/>
      <c r="N111" s="216">
        <v>10</v>
      </c>
      <c r="O111" s="216" t="s">
        <v>211</v>
      </c>
      <c r="P111" s="216"/>
      <c r="Q111" s="216"/>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58"/>
      <c r="AY111" s="158"/>
    </row>
    <row r="112" spans="1:51" s="80" customFormat="1" ht="12.75" hidden="1">
      <c r="A112" s="216" t="str">
        <f>TRIM(G105&amp;" "&amp;H105&amp;" "&amp;I105&amp;" "&amp;J105&amp;" "&amp;K105&amp;" "&amp;L105&amp;" "&amp;M105)</f>
        <v>Four hundred</v>
      </c>
      <c r="B112" s="216"/>
      <c r="C112" s="216"/>
      <c r="D112" s="216"/>
      <c r="E112" s="216"/>
      <c r="F112" s="216"/>
      <c r="G112" s="216"/>
      <c r="H112" s="216"/>
      <c r="I112" s="216"/>
      <c r="J112" s="216"/>
      <c r="K112" s="216"/>
      <c r="L112" s="216"/>
      <c r="M112" s="216"/>
      <c r="N112" s="216">
        <v>11</v>
      </c>
      <c r="O112" s="216" t="s">
        <v>212</v>
      </c>
      <c r="P112" s="216"/>
      <c r="Q112" s="216"/>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58"/>
      <c r="AY112" s="158"/>
    </row>
    <row r="113" spans="1:51" s="80" customFormat="1" ht="12.75" hidden="1">
      <c r="A113" s="216" t="str">
        <f>TRIM(G106&amp;" "&amp;H106&amp;" "&amp;I106&amp;" "&amp;J106&amp;" "&amp;K106)</f>
        <v>Seventy Seven</v>
      </c>
      <c r="B113" s="216"/>
      <c r="C113" s="216"/>
      <c r="D113" s="216"/>
      <c r="E113" s="216"/>
      <c r="F113" s="216"/>
      <c r="G113" s="216"/>
      <c r="H113" s="216"/>
      <c r="I113" s="216"/>
      <c r="J113" s="216"/>
      <c r="K113" s="216"/>
      <c r="L113" s="216"/>
      <c r="M113" s="216"/>
      <c r="N113" s="216">
        <v>12</v>
      </c>
      <c r="O113" s="216" t="s">
        <v>213</v>
      </c>
      <c r="P113" s="216"/>
      <c r="Q113" s="216"/>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58"/>
      <c r="AY113" s="158"/>
    </row>
    <row r="114" spans="1:51" s="80" customFormat="1" ht="12.75" hidden="1">
      <c r="A114" s="216" t="str">
        <f>TRIM(A110&amp;" "&amp;A111&amp;" "&amp;A112&amp;" "&amp;A113)&amp;" only"</f>
        <v>One lakh Forty Six thousand Four hundred Seventy Seven only</v>
      </c>
      <c r="B114" s="216"/>
      <c r="C114" s="216"/>
      <c r="D114" s="216"/>
      <c r="E114" s="216"/>
      <c r="F114" s="216"/>
      <c r="G114" s="216"/>
      <c r="H114" s="216"/>
      <c r="I114" s="216"/>
      <c r="J114" s="216"/>
      <c r="K114" s="216"/>
      <c r="L114" s="216"/>
      <c r="M114" s="216"/>
      <c r="N114" s="216">
        <v>13</v>
      </c>
      <c r="O114" s="216" t="s">
        <v>214</v>
      </c>
      <c r="P114" s="216"/>
      <c r="Q114" s="216"/>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58"/>
      <c r="AY114" s="158"/>
    </row>
    <row r="115" spans="1:51" s="80" customFormat="1" ht="12.75" hidden="1">
      <c r="A115" s="216"/>
      <c r="B115" s="216"/>
      <c r="C115" s="216"/>
      <c r="D115" s="216"/>
      <c r="E115" s="216"/>
      <c r="F115" s="216"/>
      <c r="G115" s="216"/>
      <c r="H115" s="216"/>
      <c r="I115" s="216"/>
      <c r="J115" s="216"/>
      <c r="K115" s="216"/>
      <c r="L115" s="216"/>
      <c r="M115" s="216"/>
      <c r="N115" s="216">
        <v>14</v>
      </c>
      <c r="O115" s="216" t="s">
        <v>215</v>
      </c>
      <c r="P115" s="216"/>
      <c r="Q115" s="216"/>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58"/>
      <c r="AY115" s="158"/>
    </row>
    <row r="116" spans="1:51" s="80" customFormat="1" ht="12.75" hidden="1">
      <c r="A116" s="216"/>
      <c r="B116" s="216"/>
      <c r="C116" s="216"/>
      <c r="D116" s="216"/>
      <c r="E116" s="216"/>
      <c r="F116" s="216"/>
      <c r="G116" s="216"/>
      <c r="H116" s="216"/>
      <c r="I116" s="216"/>
      <c r="J116" s="216"/>
      <c r="K116" s="216"/>
      <c r="L116" s="216"/>
      <c r="M116" s="216"/>
      <c r="N116" s="216">
        <v>15</v>
      </c>
      <c r="O116" s="216" t="s">
        <v>216</v>
      </c>
      <c r="P116" s="216"/>
      <c r="Q116" s="216"/>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58"/>
      <c r="AY116" s="158"/>
    </row>
    <row r="117" spans="1:51" s="80" customFormat="1" ht="12.75" hidden="1">
      <c r="A117" s="216"/>
      <c r="B117" s="216"/>
      <c r="C117" s="216"/>
      <c r="D117" s="216"/>
      <c r="E117" s="216"/>
      <c r="F117" s="216"/>
      <c r="G117" s="216"/>
      <c r="H117" s="216"/>
      <c r="I117" s="216"/>
      <c r="J117" s="216"/>
      <c r="K117" s="216"/>
      <c r="L117" s="216"/>
      <c r="M117" s="216"/>
      <c r="N117" s="216">
        <v>16</v>
      </c>
      <c r="O117" s="216" t="s">
        <v>217</v>
      </c>
      <c r="P117" s="216"/>
      <c r="Q117" s="216"/>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58"/>
      <c r="AY117" s="158"/>
    </row>
    <row r="118" spans="1:51" s="80" customFormat="1" ht="12.75" hidden="1">
      <c r="A118" s="216"/>
      <c r="B118" s="216"/>
      <c r="C118" s="216"/>
      <c r="D118" s="216"/>
      <c r="E118" s="216"/>
      <c r="F118" s="216"/>
      <c r="G118" s="216"/>
      <c r="H118" s="216"/>
      <c r="I118" s="216"/>
      <c r="J118" s="216"/>
      <c r="K118" s="216"/>
      <c r="L118" s="216"/>
      <c r="M118" s="216"/>
      <c r="N118" s="216">
        <v>17</v>
      </c>
      <c r="O118" s="216" t="s">
        <v>218</v>
      </c>
      <c r="P118" s="216"/>
      <c r="Q118" s="216"/>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58"/>
      <c r="AY118" s="158"/>
    </row>
    <row r="119" spans="1:51" s="80" customFormat="1" ht="12.75" hidden="1">
      <c r="A119" s="216"/>
      <c r="B119" s="216"/>
      <c r="C119" s="216"/>
      <c r="D119" s="216"/>
      <c r="E119" s="216"/>
      <c r="F119" s="216"/>
      <c r="G119" s="216"/>
      <c r="H119" s="216"/>
      <c r="I119" s="216"/>
      <c r="J119" s="216"/>
      <c r="K119" s="216"/>
      <c r="L119" s="216"/>
      <c r="M119" s="216"/>
      <c r="N119" s="216">
        <v>18</v>
      </c>
      <c r="O119" s="216" t="s">
        <v>219</v>
      </c>
      <c r="P119" s="216"/>
      <c r="Q119" s="216"/>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58"/>
      <c r="AY119" s="158"/>
    </row>
    <row r="120" spans="1:51" s="80" customFormat="1" ht="12.75" hidden="1">
      <c r="A120" s="216"/>
      <c r="B120" s="216"/>
      <c r="C120" s="216"/>
      <c r="D120" s="216"/>
      <c r="E120" s="216"/>
      <c r="F120" s="216"/>
      <c r="G120" s="216"/>
      <c r="H120" s="216"/>
      <c r="I120" s="216"/>
      <c r="J120" s="216"/>
      <c r="K120" s="216"/>
      <c r="L120" s="216"/>
      <c r="M120" s="216"/>
      <c r="N120" s="216">
        <v>19</v>
      </c>
      <c r="O120" s="216" t="s">
        <v>220</v>
      </c>
      <c r="P120" s="216"/>
      <c r="Q120" s="216"/>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58"/>
      <c r="AY120" s="158"/>
    </row>
    <row r="121" spans="1:51" s="80" customFormat="1" ht="12.75" hidden="1">
      <c r="A121" s="216"/>
      <c r="B121" s="216"/>
      <c r="C121" s="216"/>
      <c r="D121" s="216"/>
      <c r="E121" s="216"/>
      <c r="F121" s="216"/>
      <c r="G121" s="216"/>
      <c r="H121" s="216"/>
      <c r="I121" s="216"/>
      <c r="J121" s="216"/>
      <c r="K121" s="216"/>
      <c r="L121" s="216"/>
      <c r="M121" s="216"/>
      <c r="N121" s="216">
        <v>20</v>
      </c>
      <c r="O121" s="216" t="s">
        <v>196</v>
      </c>
      <c r="P121" s="216"/>
      <c r="Q121" s="216"/>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58"/>
      <c r="AY121" s="158"/>
    </row>
    <row r="122" spans="1:51" s="80" customFormat="1" ht="12.75" hidden="1">
      <c r="A122" s="216"/>
      <c r="B122" s="216"/>
      <c r="C122" s="216"/>
      <c r="D122" s="216"/>
      <c r="E122" s="216"/>
      <c r="F122" s="216"/>
      <c r="G122" s="216"/>
      <c r="H122" s="216"/>
      <c r="I122" s="216"/>
      <c r="J122" s="216"/>
      <c r="K122" s="216"/>
      <c r="L122" s="216"/>
      <c r="M122" s="216"/>
      <c r="N122" s="216">
        <v>30</v>
      </c>
      <c r="O122" s="216" t="s">
        <v>198</v>
      </c>
      <c r="P122" s="216"/>
      <c r="Q122" s="216"/>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58"/>
      <c r="AY122" s="158"/>
    </row>
    <row r="123" spans="1:51" s="80" customFormat="1" ht="12.75" hidden="1">
      <c r="A123" s="216"/>
      <c r="B123" s="216"/>
      <c r="C123" s="216"/>
      <c r="D123" s="216"/>
      <c r="E123" s="216"/>
      <c r="F123" s="216"/>
      <c r="G123" s="216"/>
      <c r="H123" s="216"/>
      <c r="I123" s="216"/>
      <c r="J123" s="216"/>
      <c r="K123" s="216"/>
      <c r="L123" s="216"/>
      <c r="M123" s="216"/>
      <c r="N123" s="216">
        <v>40</v>
      </c>
      <c r="O123" s="216" t="s">
        <v>200</v>
      </c>
      <c r="P123" s="216"/>
      <c r="Q123" s="216"/>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58"/>
      <c r="AY123" s="158"/>
    </row>
    <row r="124" spans="1:51" s="80" customFormat="1" ht="12.75" hidden="1">
      <c r="A124" s="216"/>
      <c r="B124" s="216"/>
      <c r="C124" s="216"/>
      <c r="D124" s="216"/>
      <c r="E124" s="216"/>
      <c r="F124" s="216"/>
      <c r="G124" s="216"/>
      <c r="H124" s="216"/>
      <c r="I124" s="216"/>
      <c r="J124" s="216"/>
      <c r="K124" s="216"/>
      <c r="L124" s="216"/>
      <c r="M124" s="216"/>
      <c r="N124" s="216">
        <v>50</v>
      </c>
      <c r="O124" s="216" t="s">
        <v>202</v>
      </c>
      <c r="P124" s="216"/>
      <c r="Q124" s="216"/>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58"/>
      <c r="AY124" s="158"/>
    </row>
    <row r="125" spans="1:51" s="80" customFormat="1" ht="12.75" hidden="1">
      <c r="A125" s="216"/>
      <c r="B125" s="216"/>
      <c r="C125" s="216"/>
      <c r="D125" s="216"/>
      <c r="E125" s="216"/>
      <c r="F125" s="216"/>
      <c r="G125" s="216"/>
      <c r="H125" s="216"/>
      <c r="I125" s="216"/>
      <c r="J125" s="216"/>
      <c r="K125" s="216"/>
      <c r="L125" s="216"/>
      <c r="M125" s="216"/>
      <c r="N125" s="216">
        <v>60</v>
      </c>
      <c r="O125" s="216" t="s">
        <v>204</v>
      </c>
      <c r="P125" s="216"/>
      <c r="Q125" s="216"/>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58"/>
      <c r="AY125" s="158"/>
    </row>
    <row r="126" spans="1:51" s="80" customFormat="1" ht="12.75" hidden="1">
      <c r="A126" s="216"/>
      <c r="B126" s="216"/>
      <c r="C126" s="216"/>
      <c r="D126" s="216"/>
      <c r="E126" s="216"/>
      <c r="F126" s="216"/>
      <c r="G126" s="216"/>
      <c r="H126" s="216"/>
      <c r="I126" s="216"/>
      <c r="J126" s="216"/>
      <c r="K126" s="216"/>
      <c r="L126" s="216"/>
      <c r="M126" s="216"/>
      <c r="N126" s="216">
        <v>70</v>
      </c>
      <c r="O126" s="216" t="s">
        <v>206</v>
      </c>
      <c r="P126" s="216"/>
      <c r="Q126" s="216"/>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58"/>
      <c r="AY126" s="158"/>
    </row>
    <row r="127" spans="1:51" s="80" customFormat="1" ht="12.75" hidden="1">
      <c r="A127" s="216"/>
      <c r="B127" s="216"/>
      <c r="C127" s="216"/>
      <c r="D127" s="216"/>
      <c r="E127" s="216"/>
      <c r="F127" s="216"/>
      <c r="G127" s="216"/>
      <c r="H127" s="216"/>
      <c r="I127" s="216"/>
      <c r="J127" s="216"/>
      <c r="K127" s="216"/>
      <c r="L127" s="216"/>
      <c r="M127" s="216"/>
      <c r="N127" s="216">
        <v>80</v>
      </c>
      <c r="O127" s="216" t="s">
        <v>208</v>
      </c>
      <c r="P127" s="216"/>
      <c r="Q127" s="216"/>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58"/>
      <c r="AY127" s="158"/>
    </row>
    <row r="128" spans="1:51" s="80" customFormat="1" ht="12.75" hidden="1">
      <c r="A128" s="216"/>
      <c r="B128" s="216"/>
      <c r="C128" s="216"/>
      <c r="D128" s="216"/>
      <c r="E128" s="216"/>
      <c r="F128" s="216"/>
      <c r="G128" s="216"/>
      <c r="H128" s="216"/>
      <c r="I128" s="216"/>
      <c r="J128" s="216"/>
      <c r="K128" s="216"/>
      <c r="L128" s="216"/>
      <c r="M128" s="216"/>
      <c r="N128" s="216">
        <v>90</v>
      </c>
      <c r="O128" s="216" t="s">
        <v>210</v>
      </c>
      <c r="P128" s="216"/>
      <c r="Q128" s="216"/>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58"/>
      <c r="AY128" s="158"/>
    </row>
    <row r="129" spans="1:51" s="80" customFormat="1" ht="12.75" hidden="1">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58"/>
      <c r="AY129" s="158"/>
    </row>
    <row r="130" spans="1:51" s="80" customFormat="1" ht="12.75" hidden="1">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58"/>
      <c r="AY130" s="158"/>
    </row>
    <row r="131" spans="1:51" s="80" customFormat="1" ht="12.75" hidden="1">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58"/>
      <c r="AY131" s="158"/>
    </row>
    <row r="132" spans="1:51" s="80" customFormat="1" ht="12.75" hidden="1">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58"/>
      <c r="AY132" s="158"/>
    </row>
    <row r="133" spans="1:51" s="80" customFormat="1" ht="12.75" hidden="1">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58"/>
      <c r="AY133" s="158"/>
    </row>
    <row r="134" spans="1:51" s="80" customFormat="1" ht="12.75" hidden="1">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58"/>
      <c r="AY134" s="158"/>
    </row>
    <row r="135" spans="1:51" s="80" customFormat="1" ht="12.75" hidden="1">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58"/>
      <c r="AY135" s="158"/>
    </row>
    <row r="136" spans="1:51" s="80" customFormat="1" ht="12.75" hidden="1">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58"/>
      <c r="AY136" s="158"/>
    </row>
    <row r="137" spans="1:51" s="80" customFormat="1" ht="12.75" hidden="1">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58"/>
      <c r="AY137" s="158"/>
    </row>
    <row r="138" spans="1:51" s="80" customFormat="1" ht="12.75" hidden="1">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58"/>
      <c r="AY138" s="158"/>
    </row>
    <row r="139" spans="1:51" s="80" customFormat="1" ht="12.75">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58"/>
      <c r="AY139" s="158"/>
    </row>
    <row r="140" spans="1:51" s="80" customFormat="1" ht="12.75">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58"/>
      <c r="AY140" s="158"/>
    </row>
  </sheetData>
  <sheetProtection password="CF9E" sheet="1" selectLockedCells="1"/>
  <mergeCells count="53">
    <mergeCell ref="H36:N36"/>
    <mergeCell ref="V36:AF36"/>
    <mergeCell ref="F39:Q39"/>
    <mergeCell ref="B21:B22"/>
    <mergeCell ref="J21:J22"/>
    <mergeCell ref="V21:V22"/>
    <mergeCell ref="A26:AF27"/>
    <mergeCell ref="T28:AF28"/>
    <mergeCell ref="X21:Y22"/>
    <mergeCell ref="AA21:AC22"/>
    <mergeCell ref="AK30:AL30"/>
    <mergeCell ref="AK23:AN23"/>
    <mergeCell ref="B24:F24"/>
    <mergeCell ref="H24:L24"/>
    <mergeCell ref="N24:R24"/>
    <mergeCell ref="T24:V24"/>
    <mergeCell ref="X24:AF24"/>
    <mergeCell ref="AE21:AF22"/>
    <mergeCell ref="AK15:AN15"/>
    <mergeCell ref="P17:Q17"/>
    <mergeCell ref="X17:Y17"/>
    <mergeCell ref="AA17:AC17"/>
    <mergeCell ref="AM17:AN17"/>
    <mergeCell ref="Y15:AD15"/>
    <mergeCell ref="AM22:AQ22"/>
    <mergeCell ref="F19:H19"/>
    <mergeCell ref="L19:Q19"/>
    <mergeCell ref="V19:AC19"/>
    <mergeCell ref="AK19:AS21"/>
    <mergeCell ref="Q13:R13"/>
    <mergeCell ref="Y13:AA13"/>
    <mergeCell ref="AC13:AE13"/>
    <mergeCell ref="D15:J15"/>
    <mergeCell ref="L15:N15"/>
    <mergeCell ref="Q15:V15"/>
    <mergeCell ref="AR7:AS7"/>
    <mergeCell ref="D9:J9"/>
    <mergeCell ref="L9:Q9"/>
    <mergeCell ref="R9:AC9"/>
    <mergeCell ref="D11:H11"/>
    <mergeCell ref="N11:AC11"/>
    <mergeCell ref="B5:K5"/>
    <mergeCell ref="R5:AC5"/>
    <mergeCell ref="B7:H7"/>
    <mergeCell ref="T7:AC7"/>
    <mergeCell ref="AM7:AO7"/>
    <mergeCell ref="AP7:AQ7"/>
    <mergeCell ref="A1:AD1"/>
    <mergeCell ref="AK1:AR1"/>
    <mergeCell ref="J2:N2"/>
    <mergeCell ref="AK2:AR2"/>
    <mergeCell ref="AK3:AR3"/>
    <mergeCell ref="V4:AC4"/>
  </mergeCells>
  <printOptions/>
  <pageMargins left="0.26" right="0.32" top="0.67" bottom="0.58" header="0.5" footer="0.5"/>
  <pageSetup fitToHeight="1" fitToWidth="1" horizontalDpi="600" verticalDpi="600" orientation="landscape"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M334"/>
  <sheetViews>
    <sheetView showGridLines="0" zoomScaleSheetLayoutView="100" zoomScalePageLayoutView="0" workbookViewId="0" topLeftCell="A1">
      <selection activeCell="C39" sqref="C39"/>
    </sheetView>
  </sheetViews>
  <sheetFormatPr defaultColWidth="9.140625" defaultRowHeight="12.75"/>
  <cols>
    <col min="1" max="1" width="4.140625" style="80" customWidth="1"/>
    <col min="2" max="2" width="4.00390625" style="80" customWidth="1"/>
    <col min="3" max="3" width="12.140625" style="80" customWidth="1"/>
    <col min="4" max="7" width="3.00390625" style="80" customWidth="1"/>
    <col min="8" max="9" width="3.7109375" style="80" customWidth="1"/>
    <col min="10" max="10" width="8.140625" style="80" customWidth="1"/>
    <col min="11" max="11" width="2.8515625" style="80" customWidth="1"/>
    <col min="12" max="12" width="1.7109375" style="80" customWidth="1"/>
    <col min="13" max="13" width="3.8515625" style="88" customWidth="1"/>
    <col min="14" max="14" width="21.28125" style="80" customWidth="1"/>
    <col min="15" max="15" width="4.140625" style="80" customWidth="1"/>
    <col min="16" max="16" width="19.8515625" style="80" customWidth="1"/>
    <col min="17" max="17" width="1.57421875" style="80" customWidth="1"/>
    <col min="18" max="18" width="9.140625" style="80" hidden="1" customWidth="1"/>
    <col min="19" max="19" width="12.421875" style="80" hidden="1" customWidth="1"/>
    <col min="20" max="20" width="9.57421875" style="80" hidden="1" customWidth="1"/>
    <col min="21" max="33" width="9.140625" style="80" hidden="1" customWidth="1"/>
    <col min="34" max="34" width="9.140625" style="80" customWidth="1"/>
    <col min="35" max="37" width="9.140625" style="80" hidden="1" customWidth="1"/>
    <col min="38" max="38" width="0" style="80" hidden="1" customWidth="1"/>
    <col min="39" max="16384" width="9.140625" style="80" customWidth="1"/>
  </cols>
  <sheetData>
    <row r="1" spans="1:37" ht="14.25" customHeight="1">
      <c r="A1" s="307" t="str">
        <f>"Payble at  "&amp;data!C17</f>
        <v>Payble at  STO, NUZVID</v>
      </c>
      <c r="B1" s="307"/>
      <c r="C1" s="307"/>
      <c r="D1" s="307"/>
      <c r="E1" s="307"/>
      <c r="F1" s="307"/>
      <c r="G1" s="307"/>
      <c r="H1" s="307"/>
      <c r="I1" s="307"/>
      <c r="J1" s="307"/>
      <c r="K1" s="307"/>
      <c r="L1" s="307"/>
      <c r="M1" s="307"/>
      <c r="N1" s="307"/>
      <c r="O1" s="307"/>
      <c r="P1" s="307"/>
      <c r="Q1" s="307"/>
      <c r="AK1" s="80" t="s">
        <v>113</v>
      </c>
    </row>
    <row r="2" spans="1:17" ht="13.5" customHeight="1">
      <c r="A2" s="308" t="s">
        <v>114</v>
      </c>
      <c r="B2" s="308"/>
      <c r="C2" s="308"/>
      <c r="D2" s="308"/>
      <c r="E2" s="308"/>
      <c r="F2" s="308"/>
      <c r="G2" s="308"/>
      <c r="H2" s="308"/>
      <c r="I2" s="308"/>
      <c r="J2" s="308"/>
      <c r="K2" s="308"/>
      <c r="L2" s="308"/>
      <c r="M2" s="308"/>
      <c r="N2" s="308"/>
      <c r="O2" s="308"/>
      <c r="P2" s="308"/>
      <c r="Q2" s="308"/>
    </row>
    <row r="3" spans="1:17" ht="15.75">
      <c r="A3" s="308" t="s">
        <v>115</v>
      </c>
      <c r="B3" s="308"/>
      <c r="C3" s="308"/>
      <c r="D3" s="308"/>
      <c r="E3" s="308"/>
      <c r="F3" s="308"/>
      <c r="G3" s="308"/>
      <c r="H3" s="308"/>
      <c r="I3" s="308"/>
      <c r="J3" s="308"/>
      <c r="K3" s="308"/>
      <c r="L3" s="308"/>
      <c r="M3" s="308"/>
      <c r="N3" s="308"/>
      <c r="O3" s="308"/>
      <c r="P3" s="308"/>
      <c r="Q3" s="308"/>
    </row>
    <row r="4" spans="3:17" ht="7.5" customHeight="1">
      <c r="C4" s="82"/>
      <c r="D4" s="82"/>
      <c r="E4" s="82"/>
      <c r="F4" s="82"/>
      <c r="G4" s="82"/>
      <c r="H4" s="82"/>
      <c r="I4" s="82"/>
      <c r="J4" s="82"/>
      <c r="K4" s="82"/>
      <c r="L4" s="82"/>
      <c r="M4" s="82"/>
      <c r="N4" s="82"/>
      <c r="O4" s="83"/>
      <c r="P4" s="83"/>
      <c r="Q4" s="83"/>
    </row>
    <row r="5" spans="2:17" ht="17.25" customHeight="1">
      <c r="B5" s="80" t="s">
        <v>116</v>
      </c>
      <c r="F5" s="84"/>
      <c r="G5" s="309">
        <f>data!C24</f>
        <v>43288</v>
      </c>
      <c r="H5" s="309"/>
      <c r="I5" s="309"/>
      <c r="J5" s="309"/>
      <c r="K5" s="309"/>
      <c r="L5" s="85"/>
      <c r="M5" s="81"/>
      <c r="N5" s="310" t="s">
        <v>117</v>
      </c>
      <c r="O5" s="311"/>
      <c r="P5" s="311"/>
      <c r="Q5" s="86"/>
    </row>
    <row r="6" spans="1:17" ht="15" customHeight="1">
      <c r="A6" s="312" t="str">
        <f>$X$131</f>
        <v>Twelve thousand Nine hundred Ninety One only</v>
      </c>
      <c r="K6" s="87"/>
      <c r="L6" s="87"/>
      <c r="N6" s="89" t="s">
        <v>118</v>
      </c>
      <c r="O6" s="313"/>
      <c r="P6" s="313"/>
      <c r="Q6" s="91"/>
    </row>
    <row r="7" spans="1:17" ht="15" customHeight="1">
      <c r="A7" s="312"/>
      <c r="B7" s="314" t="s">
        <v>119</v>
      </c>
      <c r="C7" s="314"/>
      <c r="D7" s="314"/>
      <c r="E7" s="92" t="str">
        <f>R13</f>
        <v>0</v>
      </c>
      <c r="F7" s="92" t="str">
        <f>S13</f>
        <v>5</v>
      </c>
      <c r="G7" s="92" t="str">
        <f>T13</f>
        <v>1</v>
      </c>
      <c r="H7" s="93" t="str">
        <f>U13</f>
        <v>2</v>
      </c>
      <c r="I7" s="90"/>
      <c r="J7" s="90"/>
      <c r="K7" s="90"/>
      <c r="L7" s="90"/>
      <c r="N7" s="89" t="s">
        <v>120</v>
      </c>
      <c r="O7" s="315"/>
      <c r="P7" s="316"/>
      <c r="Q7" s="91"/>
    </row>
    <row r="8" spans="1:17" ht="3.75" customHeight="1">
      <c r="A8" s="312"/>
      <c r="B8" s="94"/>
      <c r="C8" s="94"/>
      <c r="D8" s="95"/>
      <c r="E8" s="96"/>
      <c r="F8" s="96"/>
      <c r="G8" s="96"/>
      <c r="H8" s="96"/>
      <c r="I8" s="96"/>
      <c r="J8" s="96"/>
      <c r="K8" s="96"/>
      <c r="L8" s="96"/>
      <c r="N8" s="97"/>
      <c r="O8" s="98"/>
      <c r="P8" s="98"/>
      <c r="Q8" s="99"/>
    </row>
    <row r="9" spans="1:16" ht="17.25" customHeight="1">
      <c r="A9" s="312"/>
      <c r="B9" s="80" t="s">
        <v>121</v>
      </c>
      <c r="D9" s="317" t="str">
        <f>data!$C$23</f>
        <v>05120308013</v>
      </c>
      <c r="E9" s="318"/>
      <c r="F9" s="318"/>
      <c r="G9" s="318"/>
      <c r="H9" s="318"/>
      <c r="I9" s="318"/>
      <c r="J9" s="318"/>
      <c r="K9" s="318"/>
      <c r="L9" s="96"/>
      <c r="N9" s="94" t="s">
        <v>122</v>
      </c>
      <c r="O9" s="319" t="str">
        <f>data!C16</f>
        <v>Krishna</v>
      </c>
      <c r="P9" s="319"/>
    </row>
    <row r="10" spans="1:16" ht="32.25" customHeight="1">
      <c r="A10" s="312"/>
      <c r="B10" s="320" t="s">
        <v>123</v>
      </c>
      <c r="C10" s="320"/>
      <c r="D10" s="321" t="str">
        <f>data!C20</f>
        <v>HEAD MASTER</v>
      </c>
      <c r="E10" s="321"/>
      <c r="F10" s="321"/>
      <c r="G10" s="321"/>
      <c r="H10" s="321"/>
      <c r="I10" s="321"/>
      <c r="J10" s="321"/>
      <c r="K10" s="321"/>
      <c r="L10" s="96"/>
      <c r="N10" s="80" t="s">
        <v>124</v>
      </c>
      <c r="O10" s="322" t="str">
        <f>data!C21</f>
        <v>SRRZPHS NUZVID</v>
      </c>
      <c r="P10" s="323"/>
    </row>
    <row r="11" spans="1:19" s="100" customFormat="1" ht="26.25" customHeight="1">
      <c r="A11" s="312"/>
      <c r="B11" s="100" t="s">
        <v>125</v>
      </c>
      <c r="D11" s="324" t="str">
        <f>data!C25</f>
        <v>0889</v>
      </c>
      <c r="E11" s="325"/>
      <c r="F11" s="325"/>
      <c r="G11" s="325"/>
      <c r="H11" s="325"/>
      <c r="I11" s="325"/>
      <c r="J11" s="325"/>
      <c r="K11" s="325"/>
      <c r="L11" s="101"/>
      <c r="M11" s="102"/>
      <c r="N11" s="100" t="s">
        <v>126</v>
      </c>
      <c r="O11" s="326" t="str">
        <f>data!C26</f>
        <v>SBI NUZVID</v>
      </c>
      <c r="P11" s="327"/>
      <c r="S11" s="103" t="str">
        <f>data!C23</f>
        <v>05120308013</v>
      </c>
    </row>
    <row r="12" spans="1:25" ht="15" customHeight="1">
      <c r="A12" s="312"/>
      <c r="B12" s="320" t="s">
        <v>127</v>
      </c>
      <c r="C12" s="320"/>
      <c r="D12" s="328"/>
      <c r="E12" s="328"/>
      <c r="F12" s="328"/>
      <c r="G12" s="328"/>
      <c r="H12" s="328"/>
      <c r="I12" s="328"/>
      <c r="J12" s="328"/>
      <c r="K12" s="328"/>
      <c r="L12" s="96"/>
      <c r="N12" s="104" t="s">
        <v>128</v>
      </c>
      <c r="O12" s="105" t="s">
        <v>129</v>
      </c>
      <c r="P12" s="106"/>
      <c r="R12" s="80" t="str">
        <f>LEFT(S11,4)</f>
        <v>0512</v>
      </c>
      <c r="V12" s="88">
        <v>1</v>
      </c>
      <c r="W12" s="88">
        <v>2</v>
      </c>
      <c r="X12" s="88">
        <v>3</v>
      </c>
      <c r="Y12" s="88">
        <v>4</v>
      </c>
    </row>
    <row r="13" spans="1:21" ht="15" customHeight="1">
      <c r="A13" s="312"/>
      <c r="B13" s="329" t="s">
        <v>55</v>
      </c>
      <c r="C13" s="329"/>
      <c r="D13" s="107"/>
      <c r="E13" s="107"/>
      <c r="F13" s="107"/>
      <c r="G13" s="107"/>
      <c r="H13" s="107"/>
      <c r="I13" s="107"/>
      <c r="J13" s="107"/>
      <c r="K13" s="107"/>
      <c r="L13" s="107"/>
      <c r="M13" s="108"/>
      <c r="N13" s="109" t="s">
        <v>130</v>
      </c>
      <c r="O13" s="330" t="s">
        <v>109</v>
      </c>
      <c r="P13" s="330"/>
      <c r="Q13" s="106"/>
      <c r="R13" s="80" t="str">
        <f>LEFT(R12,1)</f>
        <v>0</v>
      </c>
      <c r="S13" s="80" t="str">
        <f>RIGHT(LEFT(R12,2),1)</f>
        <v>5</v>
      </c>
      <c r="T13" s="80" t="str">
        <f>LEFT(RIGHT(R12,2),1)</f>
        <v>1</v>
      </c>
      <c r="U13" s="80" t="str">
        <f>RIGHT(RIGHT(R12,2),1)</f>
        <v>2</v>
      </c>
    </row>
    <row r="14" spans="1:25" ht="15" customHeight="1">
      <c r="A14" s="312"/>
      <c r="B14" s="331" t="s">
        <v>131</v>
      </c>
      <c r="C14" s="331"/>
      <c r="D14" s="111">
        <v>2</v>
      </c>
      <c r="E14" s="111">
        <v>0</v>
      </c>
      <c r="F14" s="111">
        <v>7</v>
      </c>
      <c r="G14" s="111">
        <v>1</v>
      </c>
      <c r="H14" s="332"/>
      <c r="I14" s="328"/>
      <c r="J14" s="328"/>
      <c r="K14" s="328"/>
      <c r="L14" s="333"/>
      <c r="M14" s="334">
        <v>1</v>
      </c>
      <c r="N14" s="335" t="s">
        <v>132</v>
      </c>
      <c r="O14" s="313" t="s">
        <v>133</v>
      </c>
      <c r="P14" s="336">
        <v>0</v>
      </c>
      <c r="S14" s="80">
        <f>'[1]data'!C26</f>
        <v>0</v>
      </c>
      <c r="U14" s="80" t="str">
        <f>MID(S14,1,4)</f>
        <v>0</v>
      </c>
      <c r="V14" s="88" t="str">
        <f>MID(U14,$V$12,1)</f>
        <v>0</v>
      </c>
      <c r="W14" s="88">
        <f>MID(U14,$W$12,1)</f>
      </c>
      <c r="X14" s="88">
        <f>MID(U14,$X$12,1)</f>
      </c>
      <c r="Y14" s="88">
        <f>MID(U14,$Y$12,1)</f>
      </c>
    </row>
    <row r="15" spans="1:25" ht="3.75" customHeight="1">
      <c r="A15" s="312"/>
      <c r="B15" s="110"/>
      <c r="C15" s="110"/>
      <c r="D15" s="117"/>
      <c r="E15" s="117"/>
      <c r="F15" s="117"/>
      <c r="G15" s="117"/>
      <c r="H15" s="118"/>
      <c r="I15" s="118"/>
      <c r="J15" s="118"/>
      <c r="K15" s="96"/>
      <c r="L15" s="113"/>
      <c r="M15" s="334"/>
      <c r="N15" s="335"/>
      <c r="O15" s="313"/>
      <c r="P15" s="336"/>
      <c r="V15" s="88"/>
      <c r="W15" s="88"/>
      <c r="X15" s="88"/>
      <c r="Y15" s="88"/>
    </row>
    <row r="16" spans="1:25" ht="15" customHeight="1">
      <c r="A16" s="312"/>
      <c r="B16" s="331" t="s">
        <v>134</v>
      </c>
      <c r="C16" s="331"/>
      <c r="D16" s="111">
        <v>0</v>
      </c>
      <c r="E16" s="111">
        <v>1</v>
      </c>
      <c r="F16" s="119"/>
      <c r="G16" s="119"/>
      <c r="H16" s="337"/>
      <c r="I16" s="337"/>
      <c r="J16" s="337"/>
      <c r="K16" s="337"/>
      <c r="L16" s="333"/>
      <c r="M16" s="334">
        <v>2</v>
      </c>
      <c r="N16" s="335" t="s">
        <v>135</v>
      </c>
      <c r="O16" s="313" t="s">
        <v>133</v>
      </c>
      <c r="P16" s="336">
        <v>0</v>
      </c>
      <c r="U16" s="80">
        <f>MID(S14,5,2)</f>
      </c>
      <c r="V16" s="88">
        <f>MID(U16,$V$12,1)</f>
      </c>
      <c r="W16" s="88">
        <f>MID(U16,$W$12,1)</f>
      </c>
      <c r="X16" s="88">
        <f>MID(U16,$X$12,1)</f>
      </c>
      <c r="Y16" s="88">
        <f>MID(U16,$Y$12,1)</f>
      </c>
    </row>
    <row r="17" spans="1:16" ht="3.75" customHeight="1">
      <c r="A17" s="312"/>
      <c r="B17" s="110"/>
      <c r="C17" s="110"/>
      <c r="D17" s="117"/>
      <c r="E17" s="117"/>
      <c r="F17" s="119"/>
      <c r="G17" s="119"/>
      <c r="H17" s="118"/>
      <c r="I17" s="118"/>
      <c r="J17" s="118"/>
      <c r="K17" s="96"/>
      <c r="L17" s="113"/>
      <c r="M17" s="334"/>
      <c r="N17" s="335"/>
      <c r="O17" s="313"/>
      <c r="P17" s="336"/>
    </row>
    <row r="18" spans="1:25" ht="21.75" customHeight="1">
      <c r="A18" s="312"/>
      <c r="B18" s="331" t="s">
        <v>136</v>
      </c>
      <c r="C18" s="331"/>
      <c r="D18" s="111">
        <v>1</v>
      </c>
      <c r="E18" s="111">
        <v>1</v>
      </c>
      <c r="F18" s="111">
        <v>5</v>
      </c>
      <c r="G18" s="119"/>
      <c r="H18" s="338"/>
      <c r="I18" s="338"/>
      <c r="J18" s="338"/>
      <c r="K18" s="338"/>
      <c r="L18" s="339"/>
      <c r="M18" s="334">
        <v>3</v>
      </c>
      <c r="N18" s="335" t="s">
        <v>137</v>
      </c>
      <c r="O18" s="313" t="s">
        <v>133</v>
      </c>
      <c r="P18" s="336">
        <v>0</v>
      </c>
      <c r="U18" s="80">
        <f>MID(S14,7,3)</f>
      </c>
      <c r="V18" s="88">
        <f>MID(U18,$V$12,1)</f>
      </c>
      <c r="W18" s="88">
        <f>MID(U18,$W$12,1)</f>
      </c>
      <c r="X18" s="88">
        <f>MID(U18,$X$12,1)</f>
      </c>
      <c r="Y18" s="88">
        <f>MID(U18,$Y$12,1)</f>
      </c>
    </row>
    <row r="19" spans="1:16" ht="4.5" customHeight="1">
      <c r="A19" s="312"/>
      <c r="B19" s="110"/>
      <c r="C19" s="110"/>
      <c r="D19" s="117"/>
      <c r="E19" s="117"/>
      <c r="F19" s="117"/>
      <c r="G19" s="119"/>
      <c r="H19" s="338"/>
      <c r="I19" s="338"/>
      <c r="J19" s="338"/>
      <c r="K19" s="338"/>
      <c r="L19" s="339"/>
      <c r="M19" s="334"/>
      <c r="N19" s="335"/>
      <c r="O19" s="313"/>
      <c r="P19" s="336"/>
    </row>
    <row r="20" spans="1:25" ht="15" customHeight="1">
      <c r="A20" s="312"/>
      <c r="B20" s="110" t="s">
        <v>138</v>
      </c>
      <c r="C20" s="110"/>
      <c r="D20" s="111">
        <v>0</v>
      </c>
      <c r="E20" s="111">
        <v>0</v>
      </c>
      <c r="F20" s="119"/>
      <c r="G20" s="119"/>
      <c r="H20" s="337"/>
      <c r="I20" s="337"/>
      <c r="J20" s="337"/>
      <c r="K20" s="328"/>
      <c r="L20" s="113"/>
      <c r="M20" s="114">
        <v>4</v>
      </c>
      <c r="N20" s="115" t="s">
        <v>139</v>
      </c>
      <c r="O20" s="90" t="s">
        <v>133</v>
      </c>
      <c r="P20" s="336">
        <v>0</v>
      </c>
      <c r="U20" s="80">
        <f>MID(S14,10,2)</f>
      </c>
      <c r="V20" s="88">
        <f>MID(U20,$V$12,1)</f>
      </c>
      <c r="W20" s="88">
        <f>MID(U20,$W$12,1)</f>
      </c>
      <c r="X20" s="88">
        <f>MID(U20,$X$12,1)</f>
      </c>
      <c r="Y20" s="88">
        <f>MID(U20,$Y$12,1)</f>
      </c>
    </row>
    <row r="21" spans="1:21" ht="1.5" customHeight="1">
      <c r="A21" s="312"/>
      <c r="C21" s="110"/>
      <c r="D21" s="117"/>
      <c r="E21" s="117"/>
      <c r="F21" s="119"/>
      <c r="G21" s="119"/>
      <c r="H21" s="118"/>
      <c r="I21" s="118"/>
      <c r="J21" s="118"/>
      <c r="K21" s="96"/>
      <c r="L21" s="113"/>
      <c r="M21" s="114"/>
      <c r="N21" s="115"/>
      <c r="O21" s="90"/>
      <c r="P21" s="336"/>
      <c r="U21" s="120" t="s">
        <v>140</v>
      </c>
    </row>
    <row r="22" spans="1:25" ht="18.75" customHeight="1">
      <c r="A22" s="312"/>
      <c r="B22" s="110" t="s">
        <v>141</v>
      </c>
      <c r="C22" s="110"/>
      <c r="D22" s="111">
        <v>2</v>
      </c>
      <c r="E22" s="111">
        <v>4</v>
      </c>
      <c r="F22" s="119"/>
      <c r="G22" s="119"/>
      <c r="H22" s="340"/>
      <c r="I22" s="340"/>
      <c r="J22" s="340"/>
      <c r="K22" s="340"/>
      <c r="L22" s="341"/>
      <c r="M22" s="114">
        <v>5</v>
      </c>
      <c r="N22" s="115" t="s">
        <v>142</v>
      </c>
      <c r="O22" s="90" t="s">
        <v>133</v>
      </c>
      <c r="P22" s="121"/>
      <c r="S22" s="80">
        <f>LEFT(S16,6)</f>
      </c>
      <c r="U22" s="80">
        <f>MID(S14,12,2)</f>
      </c>
      <c r="V22" s="88">
        <f>MID(U22,$V$12,1)</f>
      </c>
      <c r="W22" s="88">
        <f>MID(U22,$W$12,1)</f>
      </c>
      <c r="X22" s="88">
        <f>MID(U22,$X$12,1)</f>
      </c>
      <c r="Y22" s="88">
        <f>MID(U22,$Y$12,1)</f>
      </c>
    </row>
    <row r="23" spans="1:16" ht="1.5" customHeight="1">
      <c r="A23" s="312"/>
      <c r="C23" s="110"/>
      <c r="D23" s="117"/>
      <c r="E23" s="117"/>
      <c r="F23" s="119"/>
      <c r="G23" s="119"/>
      <c r="H23" s="118"/>
      <c r="I23" s="118"/>
      <c r="J23" s="118"/>
      <c r="K23" s="96"/>
      <c r="L23" s="113"/>
      <c r="M23" s="114"/>
      <c r="N23" s="115"/>
      <c r="O23" s="90"/>
      <c r="P23" s="121"/>
    </row>
    <row r="24" spans="1:25" ht="24" customHeight="1">
      <c r="A24" s="312"/>
      <c r="B24" s="110" t="s">
        <v>143</v>
      </c>
      <c r="C24" s="110"/>
      <c r="D24" s="111" t="str">
        <f>data!H27</f>
        <v>0</v>
      </c>
      <c r="E24" s="111" t="str">
        <f>data!I27</f>
        <v>0</v>
      </c>
      <c r="F24" s="111" t="str">
        <f>data!J27</f>
        <v>3</v>
      </c>
      <c r="G24" s="119"/>
      <c r="H24" s="337"/>
      <c r="I24" s="337"/>
      <c r="J24" s="337"/>
      <c r="K24" s="337"/>
      <c r="L24" s="333"/>
      <c r="M24" s="122">
        <v>6</v>
      </c>
      <c r="N24" s="123" t="s">
        <v>144</v>
      </c>
      <c r="O24" s="124" t="s">
        <v>133</v>
      </c>
      <c r="P24" s="116"/>
      <c r="R24" s="80">
        <f>LEFT(RIGHT(S22,2),1)</f>
      </c>
      <c r="S24" s="80">
        <f>RIGHT(RIGHT(S22,2),1)</f>
      </c>
      <c r="U24" s="80">
        <f>MID(S14,14,3)</f>
      </c>
      <c r="V24" s="88">
        <f>MID(U24,$V$12,1)</f>
      </c>
      <c r="W24" s="88">
        <f>MID(U24,$W$12,1)</f>
      </c>
      <c r="X24" s="88">
        <f>MID(U24,$X$12,1)</f>
      </c>
      <c r="Y24" s="88">
        <f>MID(U24,$Y$12,1)</f>
      </c>
    </row>
    <row r="25" spans="1:16" ht="2.25" customHeight="1">
      <c r="A25" s="312"/>
      <c r="B25" s="125"/>
      <c r="C25" s="98"/>
      <c r="D25" s="98"/>
      <c r="E25" s="98"/>
      <c r="F25" s="98"/>
      <c r="G25" s="98"/>
      <c r="H25" s="98"/>
      <c r="I25" s="98"/>
      <c r="J25" s="98"/>
      <c r="K25" s="98"/>
      <c r="L25" s="126"/>
      <c r="M25" s="127"/>
      <c r="N25" s="123"/>
      <c r="O25" s="124"/>
      <c r="P25" s="116"/>
    </row>
    <row r="26" spans="1:16" ht="15" customHeight="1">
      <c r="A26" s="312"/>
      <c r="M26" s="114">
        <v>7</v>
      </c>
      <c r="N26" s="128" t="s">
        <v>145</v>
      </c>
      <c r="O26" s="88" t="s">
        <v>133</v>
      </c>
      <c r="P26" s="129"/>
    </row>
    <row r="27" spans="1:16" ht="15" customHeight="1">
      <c r="A27" s="312"/>
      <c r="B27" s="320" t="s">
        <v>146</v>
      </c>
      <c r="C27" s="320"/>
      <c r="D27" s="342"/>
      <c r="E27" s="92" t="s">
        <v>147</v>
      </c>
      <c r="F27" s="130" t="s">
        <v>148</v>
      </c>
      <c r="G27" s="131"/>
      <c r="H27" s="131"/>
      <c r="I27" s="132"/>
      <c r="J27" s="133"/>
      <c r="K27" s="92" t="s">
        <v>149</v>
      </c>
      <c r="L27" s="112"/>
      <c r="M27" s="114">
        <v>8</v>
      </c>
      <c r="N27" s="128" t="s">
        <v>150</v>
      </c>
      <c r="O27" s="88" t="s">
        <v>133</v>
      </c>
      <c r="P27" s="129"/>
    </row>
    <row r="28" spans="1:16" ht="14.25" customHeight="1">
      <c r="A28" s="312"/>
      <c r="E28" s="106"/>
      <c r="M28" s="114">
        <v>9</v>
      </c>
      <c r="N28" s="128" t="s">
        <v>151</v>
      </c>
      <c r="O28" s="88" t="s">
        <v>133</v>
      </c>
      <c r="P28" s="129"/>
    </row>
    <row r="29" spans="1:16" ht="9.75" customHeight="1">
      <c r="A29" s="312"/>
      <c r="B29" s="343" t="s">
        <v>152</v>
      </c>
      <c r="C29" s="344"/>
      <c r="D29" s="345">
        <v>2</v>
      </c>
      <c r="E29" s="345">
        <v>2</v>
      </c>
      <c r="F29" s="345">
        <v>0</v>
      </c>
      <c r="G29" s="345">
        <v>2</v>
      </c>
      <c r="H29" s="90"/>
      <c r="I29" s="90"/>
      <c r="J29" s="90"/>
      <c r="M29" s="114">
        <v>10</v>
      </c>
      <c r="N29" s="128" t="s">
        <v>153</v>
      </c>
      <c r="O29" s="88" t="s">
        <v>133</v>
      </c>
      <c r="P29" s="129"/>
    </row>
    <row r="30" spans="1:19" ht="12.75" customHeight="1">
      <c r="A30" s="312"/>
      <c r="B30" s="343"/>
      <c r="C30" s="344"/>
      <c r="D30" s="345"/>
      <c r="E30" s="345"/>
      <c r="F30" s="345"/>
      <c r="G30" s="345"/>
      <c r="H30" s="90"/>
      <c r="I30" s="90"/>
      <c r="J30" s="90"/>
      <c r="M30" s="114">
        <v>11</v>
      </c>
      <c r="N30" s="128" t="s">
        <v>154</v>
      </c>
      <c r="O30" s="88" t="s">
        <v>133</v>
      </c>
      <c r="P30" s="129"/>
      <c r="S30" s="134"/>
    </row>
    <row r="31" spans="1:19" ht="15" customHeight="1">
      <c r="A31" s="312"/>
      <c r="M31" s="114">
        <v>12</v>
      </c>
      <c r="N31" s="128" t="s">
        <v>155</v>
      </c>
      <c r="O31" s="88" t="s">
        <v>133</v>
      </c>
      <c r="P31" s="129"/>
      <c r="S31" s="134"/>
    </row>
    <row r="32" spans="1:16" ht="15" customHeight="1">
      <c r="A32" s="312"/>
      <c r="B32" s="135" t="s">
        <v>156</v>
      </c>
      <c r="C32" s="94" t="s">
        <v>19</v>
      </c>
      <c r="D32" s="94"/>
      <c r="E32" s="94"/>
      <c r="F32" s="94"/>
      <c r="G32" s="88" t="s">
        <v>133</v>
      </c>
      <c r="H32" s="346"/>
      <c r="I32" s="346"/>
      <c r="J32" s="346"/>
      <c r="K32" s="347"/>
      <c r="L32" s="136"/>
      <c r="M32" s="114">
        <v>13</v>
      </c>
      <c r="N32" s="128" t="s">
        <v>157</v>
      </c>
      <c r="O32" s="88" t="s">
        <v>133</v>
      </c>
      <c r="P32" s="129"/>
    </row>
    <row r="33" spans="1:16" ht="15" customHeight="1">
      <c r="A33" s="312"/>
      <c r="B33" s="135" t="s">
        <v>158</v>
      </c>
      <c r="C33" s="94" t="s">
        <v>159</v>
      </c>
      <c r="D33" s="94"/>
      <c r="E33" s="94"/>
      <c r="F33" s="94"/>
      <c r="G33" s="88" t="s">
        <v>133</v>
      </c>
      <c r="H33" s="346"/>
      <c r="I33" s="346"/>
      <c r="J33" s="346"/>
      <c r="K33" s="347"/>
      <c r="L33" s="136"/>
      <c r="M33" s="114">
        <v>14</v>
      </c>
      <c r="N33" s="128" t="s">
        <v>160</v>
      </c>
      <c r="O33" s="88" t="s">
        <v>133</v>
      </c>
      <c r="P33" s="137"/>
    </row>
    <row r="34" spans="1:16" ht="15" customHeight="1">
      <c r="A34" s="312"/>
      <c r="B34" s="135" t="s">
        <v>161</v>
      </c>
      <c r="C34" s="94" t="s">
        <v>162</v>
      </c>
      <c r="D34" s="94"/>
      <c r="E34" s="94"/>
      <c r="F34" s="94"/>
      <c r="G34" s="88" t="s">
        <v>133</v>
      </c>
      <c r="H34" s="346"/>
      <c r="I34" s="346"/>
      <c r="J34" s="346"/>
      <c r="K34" s="347"/>
      <c r="L34" s="136"/>
      <c r="M34" s="114">
        <v>15</v>
      </c>
      <c r="N34" s="128" t="s">
        <v>163</v>
      </c>
      <c r="O34" s="88" t="s">
        <v>133</v>
      </c>
      <c r="P34" s="129"/>
    </row>
    <row r="35" spans="1:16" ht="15" customHeight="1">
      <c r="A35" s="312"/>
      <c r="B35" s="135" t="s">
        <v>164</v>
      </c>
      <c r="C35" s="94" t="s">
        <v>1</v>
      </c>
      <c r="D35" s="94"/>
      <c r="E35" s="94"/>
      <c r="F35" s="94"/>
      <c r="G35" s="88" t="s">
        <v>133</v>
      </c>
      <c r="H35" s="346"/>
      <c r="I35" s="346"/>
      <c r="J35" s="346"/>
      <c r="K35" s="347"/>
      <c r="L35" s="136"/>
      <c r="M35" s="114">
        <v>16</v>
      </c>
      <c r="N35" s="128" t="s">
        <v>165</v>
      </c>
      <c r="O35" s="88" t="s">
        <v>133</v>
      </c>
      <c r="P35" s="138"/>
    </row>
    <row r="36" spans="1:16" ht="15" customHeight="1">
      <c r="A36" s="312"/>
      <c r="B36" s="139" t="s">
        <v>166</v>
      </c>
      <c r="C36" s="140" t="s">
        <v>21</v>
      </c>
      <c r="D36" s="94"/>
      <c r="E36" s="94"/>
      <c r="F36" s="94"/>
      <c r="G36" s="88" t="s">
        <v>133</v>
      </c>
      <c r="H36" s="346"/>
      <c r="I36" s="346"/>
      <c r="J36" s="346"/>
      <c r="K36" s="347"/>
      <c r="L36" s="141"/>
      <c r="M36" s="114">
        <v>17</v>
      </c>
      <c r="N36" s="128" t="s">
        <v>167</v>
      </c>
      <c r="O36" s="88" t="s">
        <v>133</v>
      </c>
      <c r="P36" s="129"/>
    </row>
    <row r="37" spans="1:16" ht="15" customHeight="1">
      <c r="A37" s="348" t="s">
        <v>168</v>
      </c>
      <c r="B37" s="142" t="s">
        <v>169</v>
      </c>
      <c r="C37" s="349" t="s">
        <v>170</v>
      </c>
      <c r="D37" s="349"/>
      <c r="E37" s="349"/>
      <c r="F37" s="349"/>
      <c r="G37" s="88" t="s">
        <v>133</v>
      </c>
      <c r="H37" s="346"/>
      <c r="I37" s="346"/>
      <c r="J37" s="346"/>
      <c r="K37" s="347"/>
      <c r="L37" s="136"/>
      <c r="M37" s="114">
        <v>18</v>
      </c>
      <c r="N37" s="128" t="s">
        <v>171</v>
      </c>
      <c r="O37" s="88" t="s">
        <v>133</v>
      </c>
      <c r="P37" s="129"/>
    </row>
    <row r="38" spans="1:16" ht="15" customHeight="1">
      <c r="A38" s="348"/>
      <c r="B38" s="143" t="s">
        <v>302</v>
      </c>
      <c r="C38" s="140" t="s">
        <v>77</v>
      </c>
      <c r="D38" s="140"/>
      <c r="E38" s="140"/>
      <c r="F38" s="140"/>
      <c r="G38" s="88" t="s">
        <v>133</v>
      </c>
      <c r="H38" s="346">
        <f>Bill!Q21</f>
        <v>12990</v>
      </c>
      <c r="I38" s="346"/>
      <c r="J38" s="346"/>
      <c r="K38" s="347"/>
      <c r="L38" s="136"/>
      <c r="M38" s="114">
        <v>19</v>
      </c>
      <c r="N38" s="144" t="s">
        <v>172</v>
      </c>
      <c r="O38" s="88" t="s">
        <v>133</v>
      </c>
      <c r="P38" s="116"/>
    </row>
    <row r="39" spans="1:16" ht="15" customHeight="1">
      <c r="A39" s="348"/>
      <c r="B39" s="143"/>
      <c r="C39" s="140" t="s">
        <v>173</v>
      </c>
      <c r="D39" s="140"/>
      <c r="E39" s="140"/>
      <c r="F39" s="140"/>
      <c r="G39" s="88" t="s">
        <v>133</v>
      </c>
      <c r="H39" s="346"/>
      <c r="I39" s="346"/>
      <c r="J39" s="346"/>
      <c r="K39" s="347"/>
      <c r="L39" s="136"/>
      <c r="M39" s="114">
        <v>20</v>
      </c>
      <c r="N39" s="80" t="s">
        <v>174</v>
      </c>
      <c r="O39" s="88" t="s">
        <v>133</v>
      </c>
      <c r="P39" s="145">
        <v>0</v>
      </c>
    </row>
    <row r="40" spans="1:16" ht="15" customHeight="1" thickBot="1">
      <c r="A40" s="348"/>
      <c r="B40" s="106"/>
      <c r="C40" s="94" t="s">
        <v>175</v>
      </c>
      <c r="D40" s="94"/>
      <c r="E40" s="94"/>
      <c r="F40" s="94"/>
      <c r="G40" s="88" t="s">
        <v>133</v>
      </c>
      <c r="H40" s="350">
        <f>SUM(H32:H39)</f>
        <v>12990</v>
      </c>
      <c r="I40" s="350"/>
      <c r="J40" s="350"/>
      <c r="K40" s="350"/>
      <c r="L40" s="146"/>
      <c r="M40" s="114">
        <v>21</v>
      </c>
      <c r="N40" s="80" t="s">
        <v>176</v>
      </c>
      <c r="O40" s="88" t="s">
        <v>133</v>
      </c>
      <c r="P40" s="145"/>
    </row>
    <row r="41" spans="1:16" ht="15" customHeight="1" thickTop="1">
      <c r="A41" s="348"/>
      <c r="C41" s="94" t="s">
        <v>177</v>
      </c>
      <c r="D41" s="94"/>
      <c r="E41" s="94"/>
      <c r="F41" s="94"/>
      <c r="G41" s="88" t="s">
        <v>133</v>
      </c>
      <c r="H41" s="351">
        <f>P42</f>
        <v>0</v>
      </c>
      <c r="I41" s="351"/>
      <c r="J41" s="351"/>
      <c r="K41" s="352"/>
      <c r="L41" s="136"/>
      <c r="M41" s="114">
        <v>22</v>
      </c>
      <c r="N41" s="80" t="s">
        <v>178</v>
      </c>
      <c r="O41" s="88" t="s">
        <v>133</v>
      </c>
      <c r="P41" s="145"/>
    </row>
    <row r="42" spans="1:16" ht="15" customHeight="1" thickBot="1">
      <c r="A42" s="348"/>
      <c r="C42" s="94" t="s">
        <v>179</v>
      </c>
      <c r="D42" s="94"/>
      <c r="E42" s="94"/>
      <c r="F42" s="94"/>
      <c r="G42" s="88" t="s">
        <v>133</v>
      </c>
      <c r="H42" s="350">
        <f>H40-H41</f>
        <v>12990</v>
      </c>
      <c r="I42" s="350"/>
      <c r="J42" s="350"/>
      <c r="K42" s="350"/>
      <c r="L42" s="146"/>
      <c r="M42" s="147" t="s">
        <v>180</v>
      </c>
      <c r="N42" s="90"/>
      <c r="O42" s="88" t="s">
        <v>133</v>
      </c>
      <c r="P42" s="148">
        <f>SUM(P14:P41)</f>
        <v>0</v>
      </c>
    </row>
    <row r="43" spans="1:20" ht="15" customHeight="1" thickTop="1">
      <c r="A43" s="149"/>
      <c r="B43" s="353" t="s">
        <v>181</v>
      </c>
      <c r="C43" s="353"/>
      <c r="D43" s="353"/>
      <c r="E43" s="353"/>
      <c r="F43" s="353"/>
      <c r="G43" s="353"/>
      <c r="H43" s="150"/>
      <c r="I43" s="150"/>
      <c r="J43" s="150"/>
      <c r="K43" s="151"/>
      <c r="L43" s="152"/>
      <c r="M43" s="147" t="s">
        <v>182</v>
      </c>
      <c r="N43" s="90"/>
      <c r="O43" s="90" t="s">
        <v>133</v>
      </c>
      <c r="P43" s="153"/>
      <c r="T43" s="154"/>
    </row>
    <row r="44" spans="1:16" ht="10.5" customHeight="1">
      <c r="A44" s="354" t="str">
        <f>$X$103</f>
        <v>Twelve thousand Nine hundred Ninety only</v>
      </c>
      <c r="B44" s="354"/>
      <c r="C44" s="354"/>
      <c r="D44" s="354"/>
      <c r="E44" s="354"/>
      <c r="F44" s="354"/>
      <c r="G44" s="354"/>
      <c r="H44" s="354"/>
      <c r="I44" s="354"/>
      <c r="J44" s="354"/>
      <c r="K44" s="354"/>
      <c r="L44" s="155"/>
      <c r="M44" s="114"/>
      <c r="N44" s="106"/>
      <c r="O44" s="106"/>
      <c r="P44" s="106"/>
    </row>
    <row r="45" spans="1:16" ht="6" customHeight="1">
      <c r="A45" s="354"/>
      <c r="B45" s="354"/>
      <c r="C45" s="354"/>
      <c r="D45" s="354"/>
      <c r="E45" s="354"/>
      <c r="F45" s="354"/>
      <c r="G45" s="354"/>
      <c r="H45" s="354"/>
      <c r="I45" s="354"/>
      <c r="J45" s="354"/>
      <c r="K45" s="354"/>
      <c r="L45" s="155"/>
      <c r="M45" s="114"/>
      <c r="N45" s="106"/>
      <c r="O45" s="106"/>
      <c r="P45" s="106"/>
    </row>
    <row r="46" spans="1:16" ht="21" customHeight="1">
      <c r="A46" s="354"/>
      <c r="B46" s="354"/>
      <c r="C46" s="354"/>
      <c r="D46" s="354"/>
      <c r="E46" s="354"/>
      <c r="F46" s="354"/>
      <c r="G46" s="354"/>
      <c r="H46" s="354"/>
      <c r="I46" s="354"/>
      <c r="J46" s="354"/>
      <c r="K46" s="354"/>
      <c r="L46" s="155"/>
      <c r="M46" s="355" t="s">
        <v>183</v>
      </c>
      <c r="N46" s="356"/>
      <c r="O46" s="356"/>
      <c r="P46" s="356"/>
    </row>
    <row r="47" spans="3:16" ht="11.25" customHeight="1" hidden="1">
      <c r="C47" s="156"/>
      <c r="D47" s="156"/>
      <c r="E47" s="156"/>
      <c r="F47" s="156"/>
      <c r="G47" s="156"/>
      <c r="H47" s="156"/>
      <c r="I47" s="156"/>
      <c r="J47" s="156"/>
      <c r="K47" s="156"/>
      <c r="L47" s="156"/>
      <c r="M47" s="156"/>
      <c r="N47" s="156"/>
      <c r="O47" s="156"/>
      <c r="P47" s="156"/>
    </row>
    <row r="48" spans="2:16" ht="22.5" customHeight="1">
      <c r="B48" s="357" t="s">
        <v>184</v>
      </c>
      <c r="C48" s="357"/>
      <c r="D48" s="357"/>
      <c r="E48" s="357"/>
      <c r="F48" s="357"/>
      <c r="G48" s="357"/>
      <c r="H48" s="357"/>
      <c r="I48" s="357"/>
      <c r="J48" s="357"/>
      <c r="K48" s="357"/>
      <c r="L48" s="357"/>
      <c r="M48" s="357"/>
      <c r="N48" s="357"/>
      <c r="O48" s="357"/>
      <c r="P48" s="357"/>
    </row>
    <row r="49" spans="2:16" ht="15" customHeight="1">
      <c r="B49" s="320" t="s">
        <v>185</v>
      </c>
      <c r="C49" s="320"/>
      <c r="D49" s="320"/>
      <c r="E49" s="320"/>
      <c r="F49" s="320"/>
      <c r="G49" s="320"/>
      <c r="H49" s="320"/>
      <c r="I49" s="320"/>
      <c r="J49" s="320"/>
      <c r="K49" s="320"/>
      <c r="L49" s="320"/>
      <c r="M49" s="320"/>
      <c r="N49" s="320"/>
      <c r="O49" s="320"/>
      <c r="P49" s="320"/>
    </row>
    <row r="50" spans="2:16" ht="15" customHeight="1">
      <c r="B50" s="358" t="s">
        <v>186</v>
      </c>
      <c r="C50" s="358"/>
      <c r="D50" s="358"/>
      <c r="E50" s="358"/>
      <c r="F50" s="358"/>
      <c r="G50" s="358"/>
      <c r="H50" s="358"/>
      <c r="I50" s="358"/>
      <c r="J50" s="358"/>
      <c r="K50" s="358"/>
      <c r="L50" s="358"/>
      <c r="M50" s="358"/>
      <c r="N50" s="358"/>
      <c r="O50" s="358"/>
      <c r="P50" s="358"/>
    </row>
    <row r="51" spans="2:16" ht="15" customHeight="1">
      <c r="B51" s="320" t="s">
        <v>187</v>
      </c>
      <c r="C51" s="320"/>
      <c r="D51" s="320"/>
      <c r="E51" s="320"/>
      <c r="F51" s="320"/>
      <c r="G51" s="320"/>
      <c r="H51" s="320"/>
      <c r="I51" s="320"/>
      <c r="J51" s="320"/>
      <c r="K51" s="320"/>
      <c r="L51" s="320"/>
      <c r="M51" s="320"/>
      <c r="N51" s="320"/>
      <c r="O51" s="320"/>
      <c r="P51" s="320"/>
    </row>
    <row r="52" spans="2:16" ht="15" customHeight="1">
      <c r="B52" s="320" t="s">
        <v>188</v>
      </c>
      <c r="C52" s="320"/>
      <c r="D52" s="320"/>
      <c r="E52" s="320"/>
      <c r="F52" s="320"/>
      <c r="G52" s="320"/>
      <c r="H52" s="320"/>
      <c r="I52" s="320"/>
      <c r="J52" s="320"/>
      <c r="K52" s="320"/>
      <c r="L52" s="320"/>
      <c r="M52" s="320"/>
      <c r="N52" s="320"/>
      <c r="O52" s="320"/>
      <c r="P52" s="320"/>
    </row>
    <row r="53" spans="7:8" ht="17.25" customHeight="1">
      <c r="G53" s="88">
        <v>1</v>
      </c>
      <c r="H53" s="80" t="s">
        <v>189</v>
      </c>
    </row>
    <row r="54" spans="7:8" ht="17.25" customHeight="1">
      <c r="G54" s="88"/>
      <c r="H54" s="80" t="s">
        <v>190</v>
      </c>
    </row>
    <row r="55" spans="7:8" ht="17.25" customHeight="1">
      <c r="G55" s="88">
        <v>2</v>
      </c>
      <c r="H55" s="80" t="s">
        <v>191</v>
      </c>
    </row>
    <row r="56" ht="17.25" customHeight="1">
      <c r="H56" s="80" t="s">
        <v>192</v>
      </c>
    </row>
    <row r="57" ht="21.75" customHeight="1">
      <c r="C57" s="157"/>
    </row>
    <row r="58" spans="14:16" ht="12.75">
      <c r="N58" s="359" t="s">
        <v>193</v>
      </c>
      <c r="O58" s="359"/>
      <c r="P58" s="359"/>
    </row>
    <row r="91" spans="17:39" ht="12.75" hidden="1">
      <c r="Q91" s="158"/>
      <c r="R91" s="158"/>
      <c r="S91" s="158"/>
      <c r="X91" s="159">
        <f>H42</f>
        <v>12990</v>
      </c>
      <c r="Y91" s="158">
        <f>(X91-X94)/1000</f>
        <v>12</v>
      </c>
      <c r="Z91" s="158"/>
      <c r="AA91" s="158"/>
      <c r="AB91" s="158"/>
      <c r="AC91" s="158"/>
      <c r="AD91" s="158"/>
      <c r="AE91" s="158"/>
      <c r="AF91" s="158"/>
      <c r="AG91" s="158"/>
      <c r="AH91" s="158"/>
      <c r="AI91" s="158"/>
      <c r="AJ91" s="158"/>
      <c r="AK91" s="158">
        <v>1</v>
      </c>
      <c r="AL91" s="158" t="s">
        <v>194</v>
      </c>
      <c r="AM91" s="158"/>
    </row>
    <row r="92" spans="17:39" ht="12.75" hidden="1">
      <c r="Q92" s="158"/>
      <c r="R92" s="158"/>
      <c r="S92" s="158"/>
      <c r="X92" s="158">
        <f>(Y91-X93)/100</f>
        <v>0</v>
      </c>
      <c r="Y92" s="158">
        <f>X92</f>
        <v>0</v>
      </c>
      <c r="Z92" s="158">
        <f>RIGHT(Y92,2)*1</f>
        <v>0</v>
      </c>
      <c r="AA92" s="158">
        <f>(Y92-Z92)/100</f>
        <v>0</v>
      </c>
      <c r="AB92" s="158">
        <f>(Z92-RIGHT(Z92,1)*1)/10</f>
        <v>0</v>
      </c>
      <c r="AC92" s="158">
        <f>RIGHT(Y92,1)*1</f>
        <v>0</v>
      </c>
      <c r="AD92" s="158" t="str">
        <f>IF(AB92=AK92,AM92,IF(AB92=AK93,AM93,IF(AB92=AK94,AM94,IF(AB92=AK95,AM95,IF(AB92=AK96,AM96,IF(AB92=AK97,AM97,IF(AB92=AK98,AM98,IF(AB92=AK99,AM99," "))))))))</f>
        <v> </v>
      </c>
      <c r="AE92" s="158" t="str">
        <f>IF(AB92=1," ",IF(AC92=AK91,AL91,IF(AC92=AK92,AL92,IF(AC92=AK93,AL93,IF(AC92=AK94,AL94,IF(AC92=AK95,AL95,IF(AC92=AK96,AL96," ")))))))</f>
        <v> </v>
      </c>
      <c r="AF92" s="158" t="str">
        <f>IF(AB92=1," ",IF(AC92=AK97,AL97,IF(AC92=AK98,AL98,IF(AC92=AK99,AL99," "))))</f>
        <v> </v>
      </c>
      <c r="AG92" s="158" t="str">
        <f>IF(AB92=0," ",IF(AB92&gt;1," ",IF(AC92=AK92,AL102,IF(AC92=AK93,AL103,IF(AC92=AK94,AL104,IF(AC92=AK95,AL105,IF(AC92=AK96,AL106,IF(AC92=AK97,AL107," "))))))))</f>
        <v> </v>
      </c>
      <c r="AH92" s="158" t="str">
        <f>IF(AB92=0," ",IF(AB92&gt;1," ",IF(AC92=AK98,AL108,IF(AC92=AK99,AL109,IF(AC92=AK91,AL101,IF(AC92=0,AL100," "))))))</f>
        <v> </v>
      </c>
      <c r="AI92" s="158" t="str">
        <f>IF(AB92=0," ","lakh")</f>
        <v> </v>
      </c>
      <c r="AJ92" s="158" t="str">
        <f>IF(AC92=0," ",IF(AB92&gt;0," ","lakh"))</f>
        <v> </v>
      </c>
      <c r="AK92" s="158">
        <v>2</v>
      </c>
      <c r="AL92" s="158" t="s">
        <v>195</v>
      </c>
      <c r="AM92" s="158" t="s">
        <v>196</v>
      </c>
    </row>
    <row r="93" spans="17:39" ht="12.75" hidden="1">
      <c r="Q93" s="158"/>
      <c r="R93" s="158"/>
      <c r="S93" s="158"/>
      <c r="X93" s="158">
        <f>RIGHT(Y91,2)*1</f>
        <v>12</v>
      </c>
      <c r="Y93" s="158">
        <f>X93</f>
        <v>12</v>
      </c>
      <c r="Z93" s="158">
        <f>RIGHT(Y93,2)*1</f>
        <v>12</v>
      </c>
      <c r="AA93" s="158">
        <f>(Y93-Z93)/100</f>
        <v>0</v>
      </c>
      <c r="AB93" s="158">
        <f>(Z93-RIGHT(Z93,1)*1)/10</f>
        <v>1</v>
      </c>
      <c r="AC93" s="158">
        <f>RIGHT(Y93,1)*1</f>
        <v>2</v>
      </c>
      <c r="AD93" s="158" t="str">
        <f>IF(AB93=AK92,AM92,IF(AB93=AK93,AM93,IF(AB93=AK94,AM94,IF(AB93=AK95,AM95,IF(AB93=AK96,AM96,IF(AB93=AK97,AM97,IF(AB93=AK98,AM98,IF(AB93=AK99,AM99," "))))))))</f>
        <v> </v>
      </c>
      <c r="AE93" s="158" t="str">
        <f>IF(AB93=1," ",IF(AC93=AK91,AL91,IF(AC93=AK92,AL92,IF(AC93=AK93,AL93,IF(AC93=AK94,AL94,IF(AC93=AK95,AL95,IF(AC93=AK96,AL96," ")))))))</f>
        <v> </v>
      </c>
      <c r="AF93" s="158" t="str">
        <f>IF(AB93=1," ",IF(AC93=AK97,AL97,IF(AC93=AK98,AL98,IF(AC93=AK99,AL99," "))))</f>
        <v> </v>
      </c>
      <c r="AG93" s="158" t="str">
        <f>IF(AB93=0," ",IF(AB93&gt;1," ",IF(AC93=AK92,AL102,IF(AC93=AK93,AL103,IF(AC93=AK94,AL104,IF(AC93=AK95,AL105,IF(AC93=AK96,AL106,IF(AC93=AK97,AL107," "))))))))</f>
        <v>Twelve</v>
      </c>
      <c r="AH93" s="158" t="str">
        <f>IF(AB93=0," ",IF(AB93&gt;1," ",IF(AC93=AK98,AL108,IF(AC93=AK99,AL109,IF(AC93=AK91,AL101,IF(AC93=0,AL100," "))))))</f>
        <v> </v>
      </c>
      <c r="AI93" s="158" t="str">
        <f>IF(AB93=0," ","thousand")</f>
        <v>thousand</v>
      </c>
      <c r="AJ93" s="158" t="str">
        <f>IF(AC93=0," ",IF(AB93&gt;0," ","thousand"))</f>
        <v> </v>
      </c>
      <c r="AK93" s="158">
        <v>3</v>
      </c>
      <c r="AL93" s="158" t="s">
        <v>197</v>
      </c>
      <c r="AM93" s="158" t="s">
        <v>198</v>
      </c>
    </row>
    <row r="94" spans="17:39" ht="12.75" hidden="1">
      <c r="Q94" s="158"/>
      <c r="R94" s="158"/>
      <c r="S94" s="158"/>
      <c r="X94" s="158">
        <f>RIGHT(X91,3)*1</f>
        <v>990</v>
      </c>
      <c r="Y94" s="158">
        <f>X94</f>
        <v>990</v>
      </c>
      <c r="Z94" s="158">
        <f>ROUND((Y94-AA95)/100,0)</f>
        <v>9</v>
      </c>
      <c r="AA94" s="158"/>
      <c r="AB94" s="158"/>
      <c r="AC94" s="158"/>
      <c r="AD94" s="158"/>
      <c r="AE94" s="158" t="str">
        <f>IF(Z94=0," ",IF(Z94=AK91,AL91,IF(Z94=AK92,AL92,IF(Z94=AK93,AL93,IF(Z94=AK94,AL94,IF(Z94=AK95,AL95,IF(Z94=AK96,AL96," ")))))))</f>
        <v> </v>
      </c>
      <c r="AF94" s="158" t="str">
        <f>IF(Z94=0," ",IF(Z94=AK97,AL97,IF(Z94=AK98,AL98,IF(Z94=AK99,AL99," "))))</f>
        <v>Nine</v>
      </c>
      <c r="AG94" s="158"/>
      <c r="AH94" s="158"/>
      <c r="AI94" s="158" t="str">
        <f>IF(Z94=0," ","hundred")</f>
        <v>hundred</v>
      </c>
      <c r="AJ94" s="158"/>
      <c r="AK94" s="158">
        <v>4</v>
      </c>
      <c r="AL94" s="158" t="s">
        <v>199</v>
      </c>
      <c r="AM94" s="158" t="s">
        <v>200</v>
      </c>
    </row>
    <row r="95" spans="17:39" ht="12.75" hidden="1">
      <c r="Q95" s="158"/>
      <c r="R95" s="158"/>
      <c r="S95" s="158"/>
      <c r="X95" s="158"/>
      <c r="Y95" s="158"/>
      <c r="Z95" s="158"/>
      <c r="AA95" s="158">
        <f>RIGHT(Y94,2)*1</f>
        <v>90</v>
      </c>
      <c r="AB95" s="158">
        <f>(AA95-RIGHT(AA95,1)*1)/10</f>
        <v>9</v>
      </c>
      <c r="AC95" s="158">
        <f>RIGHT(Y94,1)*1</f>
        <v>0</v>
      </c>
      <c r="AD95" s="158" t="str">
        <f>IF(AB95=AK92,AM92,IF(AB95=AK93,AM93,IF(AB95=AK94,AM94,IF(AB95=AK95,AM95,IF(AB95=AK96,AM96,IF(AB95=AK97,AM97,IF(AB95=AK98,AM98,IF(AB95=AK99,AM99," "))))))))</f>
        <v>Ninety </v>
      </c>
      <c r="AE95" s="158" t="str">
        <f>IF(AB95=1," ",IF(AC95=AK91,AL91,IF(AC95=AK92,AL92,IF(AC95=AK93,AL93,IF(AC95=AK94,AL94,IF(AC95=AK95,AL95,IF(AC95=AK96,AL96," ")))))))</f>
        <v> </v>
      </c>
      <c r="AF95" s="158" t="str">
        <f>IF(AB95=1," ",IF(AC95=AK97,AL97,IF(AC95=AK98,AL98,IF(AC95=AK99,AL99," "))))</f>
        <v> </v>
      </c>
      <c r="AG95" s="158" t="str">
        <f>IF(AB95=0," ",IF(AB95&gt;1," ",IF(AC95=AK92,AL102,IF(AC95=AK93,AL103,IF(AC95=AK94,AL104,IF(AC95=AK95,AL105,IF(AC95=AL106,AL96,IF(AC95=AK97,AL107," "))))))))</f>
        <v> </v>
      </c>
      <c r="AH95" s="158" t="str">
        <f>IF(AB95=0," ",IF(AB95&gt;1," ",IF(AC95=AK98,AL108,IF(AC95=AK99,AL109,IF(AC95=AK91,AL101,IF(AC95=0,AL100," "))))))</f>
        <v> </v>
      </c>
      <c r="AI95" s="158"/>
      <c r="AJ95" s="158"/>
      <c r="AK95" s="158">
        <v>5</v>
      </c>
      <c r="AL95" s="158" t="s">
        <v>201</v>
      </c>
      <c r="AM95" s="158" t="s">
        <v>202</v>
      </c>
    </row>
    <row r="96" spans="17:39" ht="12.75" hidden="1">
      <c r="Q96" s="158"/>
      <c r="R96" s="158"/>
      <c r="S96" s="158"/>
      <c r="X96" s="158"/>
      <c r="Y96" s="158"/>
      <c r="Z96" s="158"/>
      <c r="AA96" s="158"/>
      <c r="AB96" s="158">
        <f>AB95</f>
        <v>9</v>
      </c>
      <c r="AC96" s="158">
        <f>AC95</f>
        <v>0</v>
      </c>
      <c r="AD96" s="158"/>
      <c r="AE96" s="158"/>
      <c r="AF96" s="158"/>
      <c r="AG96" s="158"/>
      <c r="AH96" s="158"/>
      <c r="AI96" s="158"/>
      <c r="AJ96" s="158"/>
      <c r="AK96" s="158">
        <v>6</v>
      </c>
      <c r="AL96" s="158" t="s">
        <v>203</v>
      </c>
      <c r="AM96" s="158" t="s">
        <v>204</v>
      </c>
    </row>
    <row r="97" spans="17:39" ht="12.75" hidden="1">
      <c r="Q97" s="158"/>
      <c r="R97" s="158"/>
      <c r="S97" s="158"/>
      <c r="X97" s="158"/>
      <c r="Y97" s="158"/>
      <c r="Z97" s="158"/>
      <c r="AA97" s="158"/>
      <c r="AB97" s="158"/>
      <c r="AC97" s="158"/>
      <c r="AD97" s="158"/>
      <c r="AE97" s="158"/>
      <c r="AF97" s="158"/>
      <c r="AG97" s="158"/>
      <c r="AH97" s="158"/>
      <c r="AI97" s="158"/>
      <c r="AJ97" s="158"/>
      <c r="AK97" s="158">
        <v>7</v>
      </c>
      <c r="AL97" s="158" t="s">
        <v>205</v>
      </c>
      <c r="AM97" s="158" t="s">
        <v>206</v>
      </c>
    </row>
    <row r="98" spans="17:39" ht="12.75" hidden="1">
      <c r="Q98" s="158"/>
      <c r="R98" s="158"/>
      <c r="S98" s="158"/>
      <c r="X98" s="158"/>
      <c r="Y98" s="158"/>
      <c r="Z98" s="158"/>
      <c r="AA98" s="158"/>
      <c r="AB98" s="158"/>
      <c r="AC98" s="158"/>
      <c r="AD98" s="158"/>
      <c r="AE98" s="158"/>
      <c r="AF98" s="158"/>
      <c r="AG98" s="158"/>
      <c r="AH98" s="158"/>
      <c r="AI98" s="158"/>
      <c r="AJ98" s="158"/>
      <c r="AK98" s="158">
        <v>8</v>
      </c>
      <c r="AL98" s="158" t="s">
        <v>207</v>
      </c>
      <c r="AM98" s="158" t="s">
        <v>208</v>
      </c>
    </row>
    <row r="99" spans="17:39" ht="12.75" hidden="1">
      <c r="Q99" s="158"/>
      <c r="R99" s="158"/>
      <c r="S99" s="158"/>
      <c r="X99" s="158">
        <f>TRIM(AD92&amp;" "&amp;AE92&amp;" "&amp;AF92&amp;" "&amp;AG92&amp;" "&amp;AH92&amp;" "&amp;AI92&amp;" "&amp;AJ92)</f>
      </c>
      <c r="Y99" s="158"/>
      <c r="Z99" s="158"/>
      <c r="AA99" s="158"/>
      <c r="AB99" s="158"/>
      <c r="AC99" s="158"/>
      <c r="AD99" s="158"/>
      <c r="AE99" s="158"/>
      <c r="AF99" s="158"/>
      <c r="AG99" s="158"/>
      <c r="AH99" s="158"/>
      <c r="AI99" s="158"/>
      <c r="AJ99" s="158"/>
      <c r="AK99" s="158">
        <v>9</v>
      </c>
      <c r="AL99" s="158" t="s">
        <v>209</v>
      </c>
      <c r="AM99" s="158" t="s">
        <v>210</v>
      </c>
    </row>
    <row r="100" spans="17:39" ht="12.75" hidden="1">
      <c r="Q100" s="158"/>
      <c r="R100" s="158"/>
      <c r="S100" s="158"/>
      <c r="X100" s="158" t="str">
        <f>TRIM(AD93&amp;" "&amp;AE93&amp;" "&amp;AF93&amp;" "&amp;AG93&amp;" "&amp;AH93&amp;" "&amp;AI93&amp;" "&amp;AJ93)</f>
        <v>Twelve thousand</v>
      </c>
      <c r="Y100" s="158"/>
      <c r="Z100" s="158"/>
      <c r="AA100" s="158"/>
      <c r="AB100" s="158"/>
      <c r="AC100" s="158"/>
      <c r="AD100" s="158"/>
      <c r="AE100" s="158"/>
      <c r="AF100" s="158"/>
      <c r="AG100" s="158"/>
      <c r="AH100" s="158"/>
      <c r="AI100" s="158"/>
      <c r="AJ100" s="158"/>
      <c r="AK100" s="158">
        <v>10</v>
      </c>
      <c r="AL100" s="158" t="s">
        <v>211</v>
      </c>
      <c r="AM100" s="158"/>
    </row>
    <row r="101" spans="17:39" ht="12.75" hidden="1">
      <c r="Q101" s="158"/>
      <c r="R101" s="158"/>
      <c r="S101" s="158"/>
      <c r="X101" s="158" t="str">
        <f>TRIM(AD94&amp;" "&amp;AE94&amp;" "&amp;AF94&amp;" "&amp;AG94&amp;" "&amp;AH94&amp;" "&amp;AI94&amp;" "&amp;AJ94)</f>
        <v>Nine hundred</v>
      </c>
      <c r="Y101" s="158"/>
      <c r="Z101" s="158"/>
      <c r="AA101" s="158"/>
      <c r="AB101" s="158"/>
      <c r="AC101" s="158"/>
      <c r="AD101" s="158"/>
      <c r="AE101" s="158"/>
      <c r="AF101" s="158"/>
      <c r="AG101" s="158"/>
      <c r="AH101" s="158"/>
      <c r="AI101" s="158"/>
      <c r="AJ101" s="158"/>
      <c r="AK101" s="158">
        <v>11</v>
      </c>
      <c r="AL101" s="158" t="s">
        <v>212</v>
      </c>
      <c r="AM101" s="158"/>
    </row>
    <row r="102" spans="17:39" ht="12.75" hidden="1">
      <c r="Q102" s="158"/>
      <c r="R102" s="158"/>
      <c r="S102" s="158"/>
      <c r="X102" s="158" t="str">
        <f>TRIM(AD95&amp;" "&amp;AE95&amp;" "&amp;AF95&amp;" "&amp;AG95&amp;" "&amp;AH95)</f>
        <v>Ninety</v>
      </c>
      <c r="Y102" s="158"/>
      <c r="Z102" s="158"/>
      <c r="AA102" s="158"/>
      <c r="AB102" s="158"/>
      <c r="AC102" s="158"/>
      <c r="AD102" s="158"/>
      <c r="AE102" s="158"/>
      <c r="AF102" s="158"/>
      <c r="AG102" s="158"/>
      <c r="AH102" s="158"/>
      <c r="AI102" s="158"/>
      <c r="AJ102" s="158"/>
      <c r="AK102" s="158">
        <v>12</v>
      </c>
      <c r="AL102" s="158" t="s">
        <v>213</v>
      </c>
      <c r="AM102" s="158"/>
    </row>
    <row r="103" spans="17:39" ht="12.75" hidden="1">
      <c r="Q103" s="158"/>
      <c r="R103" s="158"/>
      <c r="S103" s="158"/>
      <c r="X103" s="158" t="str">
        <f>TRIM(X99&amp;" "&amp;X100&amp;" "&amp;X101&amp;" "&amp;X102)&amp;" only"</f>
        <v>Twelve thousand Nine hundred Ninety only</v>
      </c>
      <c r="Y103" s="158"/>
      <c r="Z103" s="158"/>
      <c r="AA103" s="158"/>
      <c r="AB103" s="158"/>
      <c r="AC103" s="158"/>
      <c r="AD103" s="158"/>
      <c r="AE103" s="158"/>
      <c r="AF103" s="158"/>
      <c r="AG103" s="158"/>
      <c r="AH103" s="158"/>
      <c r="AI103" s="158"/>
      <c r="AJ103" s="158"/>
      <c r="AK103" s="158">
        <v>13</v>
      </c>
      <c r="AL103" s="158" t="s">
        <v>214</v>
      </c>
      <c r="AM103" s="158"/>
    </row>
    <row r="104" spans="17:39" ht="12.75" hidden="1">
      <c r="Q104" s="158"/>
      <c r="R104" s="158"/>
      <c r="S104" s="158"/>
      <c r="X104" s="158"/>
      <c r="Y104" s="158"/>
      <c r="Z104" s="158"/>
      <c r="AA104" s="158"/>
      <c r="AB104" s="158"/>
      <c r="AC104" s="158"/>
      <c r="AD104" s="158"/>
      <c r="AE104" s="158"/>
      <c r="AF104" s="158"/>
      <c r="AG104" s="158"/>
      <c r="AH104" s="158"/>
      <c r="AI104" s="158"/>
      <c r="AJ104" s="158"/>
      <c r="AK104" s="158">
        <v>14</v>
      </c>
      <c r="AL104" s="158" t="s">
        <v>215</v>
      </c>
      <c r="AM104" s="158"/>
    </row>
    <row r="105" spans="17:39" ht="12.75" hidden="1">
      <c r="Q105" s="158"/>
      <c r="R105" s="158"/>
      <c r="S105" s="158"/>
      <c r="X105" s="158"/>
      <c r="Y105" s="158"/>
      <c r="Z105" s="158"/>
      <c r="AA105" s="158"/>
      <c r="AB105" s="158"/>
      <c r="AC105" s="158"/>
      <c r="AD105" s="158"/>
      <c r="AE105" s="158"/>
      <c r="AF105" s="158"/>
      <c r="AG105" s="158"/>
      <c r="AH105" s="158"/>
      <c r="AI105" s="158"/>
      <c r="AJ105" s="158"/>
      <c r="AK105" s="158">
        <v>15</v>
      </c>
      <c r="AL105" s="158" t="s">
        <v>216</v>
      </c>
      <c r="AM105" s="158"/>
    </row>
    <row r="106" spans="17:39" ht="12.75" hidden="1">
      <c r="Q106" s="158"/>
      <c r="R106" s="158"/>
      <c r="S106" s="158"/>
      <c r="X106" s="158"/>
      <c r="Y106" s="158"/>
      <c r="Z106" s="158"/>
      <c r="AA106" s="158"/>
      <c r="AB106" s="158"/>
      <c r="AC106" s="158"/>
      <c r="AD106" s="158"/>
      <c r="AE106" s="158"/>
      <c r="AF106" s="158"/>
      <c r="AG106" s="158"/>
      <c r="AH106" s="158"/>
      <c r="AI106" s="158"/>
      <c r="AJ106" s="158"/>
      <c r="AK106" s="158">
        <v>16</v>
      </c>
      <c r="AL106" s="158" t="s">
        <v>217</v>
      </c>
      <c r="AM106" s="158"/>
    </row>
    <row r="107" spans="17:39" ht="12.75" hidden="1">
      <c r="Q107" s="158"/>
      <c r="R107" s="158"/>
      <c r="S107" s="158"/>
      <c r="X107" s="158"/>
      <c r="Y107" s="158"/>
      <c r="Z107" s="158"/>
      <c r="AA107" s="158"/>
      <c r="AB107" s="158"/>
      <c r="AC107" s="158"/>
      <c r="AD107" s="158"/>
      <c r="AE107" s="158"/>
      <c r="AF107" s="158"/>
      <c r="AG107" s="158"/>
      <c r="AH107" s="158"/>
      <c r="AI107" s="158"/>
      <c r="AJ107" s="158"/>
      <c r="AK107" s="158">
        <v>17</v>
      </c>
      <c r="AL107" s="158" t="s">
        <v>218</v>
      </c>
      <c r="AM107" s="158"/>
    </row>
    <row r="108" spans="17:39" ht="12.75" hidden="1">
      <c r="Q108" s="158"/>
      <c r="R108" s="158"/>
      <c r="S108" s="158"/>
      <c r="X108" s="158"/>
      <c r="Y108" s="158"/>
      <c r="Z108" s="158"/>
      <c r="AA108" s="158"/>
      <c r="AB108" s="158"/>
      <c r="AC108" s="158"/>
      <c r="AD108" s="158"/>
      <c r="AE108" s="158"/>
      <c r="AF108" s="158"/>
      <c r="AG108" s="158"/>
      <c r="AH108" s="158"/>
      <c r="AI108" s="158"/>
      <c r="AJ108" s="158"/>
      <c r="AK108" s="158">
        <v>18</v>
      </c>
      <c r="AL108" s="158" t="s">
        <v>219</v>
      </c>
      <c r="AM108" s="158"/>
    </row>
    <row r="109" spans="17:39" ht="12.75" hidden="1">
      <c r="Q109" s="158"/>
      <c r="R109" s="158"/>
      <c r="S109" s="158"/>
      <c r="X109" s="158"/>
      <c r="Y109" s="158"/>
      <c r="Z109" s="158"/>
      <c r="AA109" s="158"/>
      <c r="AB109" s="158"/>
      <c r="AC109" s="158"/>
      <c r="AD109" s="158"/>
      <c r="AE109" s="158"/>
      <c r="AF109" s="158"/>
      <c r="AG109" s="158"/>
      <c r="AH109" s="158"/>
      <c r="AI109" s="158"/>
      <c r="AJ109" s="158"/>
      <c r="AK109" s="158">
        <v>19</v>
      </c>
      <c r="AL109" s="158" t="s">
        <v>220</v>
      </c>
      <c r="AM109" s="158"/>
    </row>
    <row r="110" spans="17:39" ht="12.75" hidden="1">
      <c r="Q110" s="158"/>
      <c r="R110" s="158"/>
      <c r="S110" s="158"/>
      <c r="X110" s="158"/>
      <c r="Y110" s="158"/>
      <c r="Z110" s="158"/>
      <c r="AA110" s="158"/>
      <c r="AB110" s="158"/>
      <c r="AC110" s="158"/>
      <c r="AD110" s="158"/>
      <c r="AE110" s="158"/>
      <c r="AF110" s="158"/>
      <c r="AG110" s="158"/>
      <c r="AH110" s="158"/>
      <c r="AI110" s="158"/>
      <c r="AJ110" s="158"/>
      <c r="AK110" s="158">
        <v>20</v>
      </c>
      <c r="AL110" s="158" t="s">
        <v>196</v>
      </c>
      <c r="AM110" s="158"/>
    </row>
    <row r="111" spans="17:39" ht="12.75" hidden="1">
      <c r="Q111" s="158"/>
      <c r="R111" s="158"/>
      <c r="S111" s="158"/>
      <c r="X111" s="158"/>
      <c r="Y111" s="158"/>
      <c r="Z111" s="158"/>
      <c r="AA111" s="158"/>
      <c r="AB111" s="158"/>
      <c r="AC111" s="158"/>
      <c r="AD111" s="158"/>
      <c r="AE111" s="158"/>
      <c r="AF111" s="158"/>
      <c r="AG111" s="158"/>
      <c r="AH111" s="158"/>
      <c r="AI111" s="158"/>
      <c r="AJ111" s="158"/>
      <c r="AK111" s="158">
        <v>30</v>
      </c>
      <c r="AL111" s="158" t="s">
        <v>198</v>
      </c>
      <c r="AM111" s="158"/>
    </row>
    <row r="112" spans="17:39" ht="12.75" hidden="1">
      <c r="Q112" s="158"/>
      <c r="R112" s="158"/>
      <c r="S112" s="158"/>
      <c r="X112" s="158"/>
      <c r="Y112" s="158"/>
      <c r="Z112" s="158"/>
      <c r="AA112" s="158"/>
      <c r="AB112" s="158"/>
      <c r="AC112" s="158"/>
      <c r="AD112" s="158"/>
      <c r="AE112" s="158"/>
      <c r="AF112" s="158"/>
      <c r="AG112" s="158"/>
      <c r="AH112" s="158"/>
      <c r="AI112" s="158"/>
      <c r="AJ112" s="158"/>
      <c r="AK112" s="158">
        <v>40</v>
      </c>
      <c r="AL112" s="158" t="s">
        <v>200</v>
      </c>
      <c r="AM112" s="158"/>
    </row>
    <row r="113" spans="17:39" ht="12.75" hidden="1">
      <c r="Q113" s="158"/>
      <c r="R113" s="158"/>
      <c r="S113" s="158"/>
      <c r="X113" s="158"/>
      <c r="Y113" s="158"/>
      <c r="Z113" s="158"/>
      <c r="AA113" s="158"/>
      <c r="AB113" s="158"/>
      <c r="AC113" s="158"/>
      <c r="AD113" s="158"/>
      <c r="AE113" s="158"/>
      <c r="AF113" s="158"/>
      <c r="AG113" s="158"/>
      <c r="AH113" s="158"/>
      <c r="AI113" s="158"/>
      <c r="AJ113" s="158"/>
      <c r="AK113" s="158">
        <v>50</v>
      </c>
      <c r="AL113" s="158" t="s">
        <v>202</v>
      </c>
      <c r="AM113" s="158"/>
    </row>
    <row r="114" spans="17:39" ht="12.75" hidden="1">
      <c r="Q114" s="158"/>
      <c r="R114" s="158"/>
      <c r="S114" s="158"/>
      <c r="X114" s="158"/>
      <c r="Y114" s="158"/>
      <c r="Z114" s="158"/>
      <c r="AA114" s="158"/>
      <c r="AB114" s="158"/>
      <c r="AC114" s="158"/>
      <c r="AD114" s="158"/>
      <c r="AE114" s="158"/>
      <c r="AF114" s="158"/>
      <c r="AG114" s="158"/>
      <c r="AH114" s="158"/>
      <c r="AI114" s="158"/>
      <c r="AJ114" s="158"/>
      <c r="AK114" s="158">
        <v>60</v>
      </c>
      <c r="AL114" s="158" t="s">
        <v>204</v>
      </c>
      <c r="AM114" s="158"/>
    </row>
    <row r="115" spans="17:39" ht="12.75" hidden="1">
      <c r="Q115" s="158"/>
      <c r="R115" s="158"/>
      <c r="S115" s="158"/>
      <c r="X115" s="158"/>
      <c r="Y115" s="158"/>
      <c r="Z115" s="158"/>
      <c r="AA115" s="158"/>
      <c r="AB115" s="158"/>
      <c r="AC115" s="158"/>
      <c r="AD115" s="158"/>
      <c r="AE115" s="158"/>
      <c r="AF115" s="158"/>
      <c r="AG115" s="158"/>
      <c r="AH115" s="158"/>
      <c r="AI115" s="158"/>
      <c r="AJ115" s="158"/>
      <c r="AK115" s="158">
        <v>70</v>
      </c>
      <c r="AL115" s="158" t="s">
        <v>206</v>
      </c>
      <c r="AM115" s="158"/>
    </row>
    <row r="116" spans="17:39" ht="12.75" hidden="1">
      <c r="Q116" s="158"/>
      <c r="R116" s="158"/>
      <c r="S116" s="158"/>
      <c r="X116" s="158"/>
      <c r="Y116" s="158"/>
      <c r="Z116" s="158"/>
      <c r="AA116" s="158"/>
      <c r="AB116" s="158"/>
      <c r="AC116" s="158"/>
      <c r="AD116" s="158"/>
      <c r="AE116" s="158"/>
      <c r="AF116" s="158"/>
      <c r="AG116" s="158"/>
      <c r="AH116" s="158"/>
      <c r="AI116" s="158"/>
      <c r="AJ116" s="158"/>
      <c r="AK116" s="158">
        <v>80</v>
      </c>
      <c r="AL116" s="158" t="s">
        <v>208</v>
      </c>
      <c r="AM116" s="158"/>
    </row>
    <row r="117" spans="17:39" ht="12.75" hidden="1">
      <c r="Q117" s="158"/>
      <c r="R117" s="158"/>
      <c r="S117" s="158"/>
      <c r="X117" s="158"/>
      <c r="Y117" s="158"/>
      <c r="Z117" s="158"/>
      <c r="AA117" s="158"/>
      <c r="AB117" s="158"/>
      <c r="AC117" s="158"/>
      <c r="AD117" s="158"/>
      <c r="AE117" s="158"/>
      <c r="AF117" s="158"/>
      <c r="AG117" s="158"/>
      <c r="AH117" s="158"/>
      <c r="AI117" s="158"/>
      <c r="AJ117" s="158"/>
      <c r="AK117" s="158">
        <v>90</v>
      </c>
      <c r="AL117" s="158" t="s">
        <v>210</v>
      </c>
      <c r="AM117" s="158"/>
    </row>
    <row r="118" spans="17:39" ht="12.75" hidden="1">
      <c r="Q118" s="158"/>
      <c r="R118" s="158"/>
      <c r="S118" s="158"/>
      <c r="X118" s="158"/>
      <c r="Y118" s="158"/>
      <c r="Z118" s="158"/>
      <c r="AA118" s="158"/>
      <c r="AB118" s="158"/>
      <c r="AC118" s="158"/>
      <c r="AD118" s="158"/>
      <c r="AE118" s="158"/>
      <c r="AF118" s="158"/>
      <c r="AG118" s="158"/>
      <c r="AH118" s="158"/>
      <c r="AI118" s="158"/>
      <c r="AJ118" s="158"/>
      <c r="AK118" s="158"/>
      <c r="AL118" s="158"/>
      <c r="AM118" s="158"/>
    </row>
    <row r="119" spans="17:39" ht="12.75" hidden="1">
      <c r="Q119" s="158"/>
      <c r="R119" s="158"/>
      <c r="S119" s="158"/>
      <c r="X119" s="159">
        <f>H42+1</f>
        <v>12991</v>
      </c>
      <c r="Y119" s="158">
        <f>(X119-X122)/1000</f>
        <v>12</v>
      </c>
      <c r="Z119" s="158"/>
      <c r="AA119" s="158"/>
      <c r="AB119" s="158"/>
      <c r="AC119" s="158"/>
      <c r="AD119" s="158"/>
      <c r="AE119" s="158"/>
      <c r="AF119" s="158"/>
      <c r="AG119" s="158"/>
      <c r="AH119" s="158"/>
      <c r="AI119" s="158"/>
      <c r="AJ119" s="158"/>
      <c r="AK119" s="158">
        <v>1</v>
      </c>
      <c r="AL119" s="158" t="s">
        <v>194</v>
      </c>
      <c r="AM119" s="158"/>
    </row>
    <row r="120" spans="17:39" ht="12.75" hidden="1">
      <c r="Q120" s="158"/>
      <c r="R120" s="158"/>
      <c r="S120" s="158"/>
      <c r="X120" s="158">
        <f>(Y119-X121)/100</f>
        <v>0</v>
      </c>
      <c r="Y120" s="158">
        <f>X120</f>
        <v>0</v>
      </c>
      <c r="Z120" s="158">
        <f>RIGHT(Y120,2)*1</f>
        <v>0</v>
      </c>
      <c r="AA120" s="158">
        <f>(Y120-Z120)/100</f>
        <v>0</v>
      </c>
      <c r="AB120" s="158">
        <f>(Z120-RIGHT(Z120,1)*1)/10</f>
        <v>0</v>
      </c>
      <c r="AC120" s="158">
        <f>RIGHT(Y120,1)*1</f>
        <v>0</v>
      </c>
      <c r="AD120" s="158" t="str">
        <f>IF(AB120=AK120,AM120,IF(AB120=AK121,AM121,IF(AB120=AK122,AM122,IF(AB120=AK123,AM123,IF(AB120=AK124,AM124,IF(AB120=AK125,AM125,IF(AB120=AK126,AM126,IF(AB120=AK127,AM127," "))))))))</f>
        <v> </v>
      </c>
      <c r="AE120" s="158" t="str">
        <f>IF(AB120=1," ",IF(AC120=AK119,AL119,IF(AC120=AK120,AL120,IF(AC120=AK121,AL121,IF(AC120=AK122,AL122,IF(AC120=AK123,AL123,IF(AC120=AK124,AL124," ")))))))</f>
        <v> </v>
      </c>
      <c r="AF120" s="158" t="str">
        <f>IF(AB120=1," ",IF(AC120=AK125,AL125,IF(AC120=AK126,AL126,IF(AC120=AK127,AL127," "))))</f>
        <v> </v>
      </c>
      <c r="AG120" s="158" t="str">
        <f>IF(AB120=0," ",IF(AB120&gt;1," ",IF(AC120=AK120,AL130,IF(AC120=AK121,AL131,IF(AC120=AK122,AL132,IF(AC120=AK123,AL133,IF(AC120=AK124,AL134,IF(AC120=AK125,AL135," "))))))))</f>
        <v> </v>
      </c>
      <c r="AH120" s="158" t="str">
        <f>IF(AB120=0," ",IF(AB120&gt;1," ",IF(AC120=AK126,AL136,IF(AC120=AK127,AL137,IF(AC120=AK119,AL129,IF(AC120=0,AL128," "))))))</f>
        <v> </v>
      </c>
      <c r="AI120" s="158" t="str">
        <f>IF(AB120=0," ","lakh")</f>
        <v> </v>
      </c>
      <c r="AJ120" s="158" t="str">
        <f>IF(AC120=0," ",IF(AB120&gt;0," ","lakh"))</f>
        <v> </v>
      </c>
      <c r="AK120" s="158">
        <v>2</v>
      </c>
      <c r="AL120" s="158" t="s">
        <v>195</v>
      </c>
      <c r="AM120" s="158" t="s">
        <v>196</v>
      </c>
    </row>
    <row r="121" spans="17:39" ht="12.75" hidden="1">
      <c r="Q121" s="158"/>
      <c r="R121" s="158"/>
      <c r="S121" s="158"/>
      <c r="X121" s="158">
        <f>RIGHT(Y119,2)*1</f>
        <v>12</v>
      </c>
      <c r="Y121" s="158">
        <f>X121</f>
        <v>12</v>
      </c>
      <c r="Z121" s="158">
        <f>RIGHT(Y121,2)*1</f>
        <v>12</v>
      </c>
      <c r="AA121" s="158">
        <f>(Y121-Z121)/100</f>
        <v>0</v>
      </c>
      <c r="AB121" s="158">
        <f>(Z121-RIGHT(Z121,1)*1)/10</f>
        <v>1</v>
      </c>
      <c r="AC121" s="158">
        <f>RIGHT(Y121,1)*1</f>
        <v>2</v>
      </c>
      <c r="AD121" s="158" t="str">
        <f>IF(AB121=AK120,AM120,IF(AB121=AK121,AM121,IF(AB121=AK122,AM122,IF(AB121=AK123,AM123,IF(AB121=AK124,AM124,IF(AB121=AK125,AM125,IF(AB121=AK126,AM126,IF(AB121=AK127,AM127," "))))))))</f>
        <v> </v>
      </c>
      <c r="AE121" s="158" t="str">
        <f>IF(AB121=1," ",IF(AC121=AK119,AL119,IF(AC121=AK120,AL120,IF(AC121=AK121,AL121,IF(AC121=AK122,AL122,IF(AC121=AK123,AL123,IF(AC121=AK124,AL124," ")))))))</f>
        <v> </v>
      </c>
      <c r="AF121" s="158" t="str">
        <f>IF(AB121=1," ",IF(AC121=AK125,AL125,IF(AC121=AK126,AL126,IF(AC121=AK127,AL127," "))))</f>
        <v> </v>
      </c>
      <c r="AG121" s="158" t="str">
        <f>IF(AB121=0," ",IF(AB121&gt;1," ",IF(AC121=AK120,AL130,IF(AC121=AK121,AL131,IF(AC121=AK122,AL132,IF(AC121=AK123,AL133,IF(AC121=AK124,AL134,IF(AC121=AK125,AL135," "))))))))</f>
        <v>Twelve</v>
      </c>
      <c r="AH121" s="158" t="str">
        <f>IF(AB121=0," ",IF(AB121&gt;1," ",IF(AC121=AK126,AL136,IF(AC121=AK127,AL137,IF(AC121=AK119,AL129,IF(AC121=0,AL128," "))))))</f>
        <v> </v>
      </c>
      <c r="AI121" s="158" t="str">
        <f>IF(AB121=0," ","thousand")</f>
        <v>thousand</v>
      </c>
      <c r="AJ121" s="158" t="str">
        <f>IF(AC121=0," ",IF(AB121&gt;0," ","thousand"))</f>
        <v> </v>
      </c>
      <c r="AK121" s="158">
        <v>3</v>
      </c>
      <c r="AL121" s="158" t="s">
        <v>197</v>
      </c>
      <c r="AM121" s="158" t="s">
        <v>198</v>
      </c>
    </row>
    <row r="122" spans="17:39" ht="12.75" hidden="1">
      <c r="Q122" s="158"/>
      <c r="R122" s="158"/>
      <c r="S122" s="158"/>
      <c r="X122" s="158">
        <f>RIGHT(X119,3)*1</f>
        <v>991</v>
      </c>
      <c r="Y122" s="158">
        <f>X122</f>
        <v>991</v>
      </c>
      <c r="Z122" s="158">
        <f>ROUND((Y122-AA123)/100,0)</f>
        <v>9</v>
      </c>
      <c r="AA122" s="158"/>
      <c r="AB122" s="158"/>
      <c r="AC122" s="158"/>
      <c r="AD122" s="158"/>
      <c r="AE122" s="158" t="str">
        <f>IF(Z122=0," ",IF(Z122=AK119,AL119,IF(Z122=AK120,AL120,IF(Z122=AK121,AL121,IF(Z122=AK122,AL122,IF(Z122=AK123,AL123,IF(Z122=AK124,AL124," ")))))))</f>
        <v> </v>
      </c>
      <c r="AF122" s="158" t="str">
        <f>IF(Z122=0," ",IF(Z122=AK125,AL125,IF(Z122=AK126,AL126,IF(Z122=AK127,AL127," "))))</f>
        <v>Nine</v>
      </c>
      <c r="AG122" s="158"/>
      <c r="AH122" s="158"/>
      <c r="AI122" s="158" t="str">
        <f>IF(Z122=0," ","hundred")</f>
        <v>hundred</v>
      </c>
      <c r="AJ122" s="158"/>
      <c r="AK122" s="158">
        <v>4</v>
      </c>
      <c r="AL122" s="158" t="s">
        <v>199</v>
      </c>
      <c r="AM122" s="158" t="s">
        <v>200</v>
      </c>
    </row>
    <row r="123" spans="17:39" ht="12.75" hidden="1">
      <c r="Q123" s="158"/>
      <c r="R123" s="158"/>
      <c r="S123" s="158"/>
      <c r="X123" s="158"/>
      <c r="Y123" s="158"/>
      <c r="Z123" s="158"/>
      <c r="AA123" s="158">
        <f>RIGHT(Y122,2)*1</f>
        <v>91</v>
      </c>
      <c r="AB123" s="158">
        <f>(AA123-RIGHT(AA123,1)*1)/10</f>
        <v>9</v>
      </c>
      <c r="AC123" s="158">
        <f>RIGHT(Y122,1)*1</f>
        <v>1</v>
      </c>
      <c r="AD123" s="158" t="str">
        <f>IF(AB123=AK120,AM120,IF(AB123=AK121,AM121,IF(AB123=AK122,AM122,IF(AB123=AK123,AM123,IF(AB123=AK124,AM124,IF(AB123=AK125,AM125,IF(AB123=AK126,AM126,IF(AB123=AK127,AM127," "))))))))</f>
        <v>Ninety </v>
      </c>
      <c r="AE123" s="158" t="str">
        <f>IF(AB123=1," ",IF(AC123=AK119,AL119,IF(AC123=AK120,AL120,IF(AC123=AK121,AL121,IF(AC123=AK122,AL122,IF(AC123=AK123,AL123,IF(AC123=AK124,AL124," ")))))))</f>
        <v>One</v>
      </c>
      <c r="AF123" s="158" t="str">
        <f>IF(AB123=1," ",IF(AC123=AK125,AL125,IF(AC123=AK126,AL126,IF(AC123=AK127,AL127," "))))</f>
        <v> </v>
      </c>
      <c r="AG123" s="158" t="str">
        <f>IF(AB123=0," ",IF(AB123&gt;1," ",IF(AC123=AK120,AL130,IF(AC123=AK121,AL131,IF(AC123=AK122,AL132,IF(AC123=AK123,AL133,IF(AC123=AL134,AL124,IF(AC123=AK125,AL135," "))))))))</f>
        <v> </v>
      </c>
      <c r="AH123" s="158" t="str">
        <f>IF(AB123=0," ",IF(AB123&gt;1," ",IF(AC123=AK126,AL136,IF(AC123=AK127,AL137,IF(AC123=AK119,AL129,IF(AC123=0,AL128," "))))))</f>
        <v> </v>
      </c>
      <c r="AI123" s="158"/>
      <c r="AJ123" s="158"/>
      <c r="AK123" s="158">
        <v>5</v>
      </c>
      <c r="AL123" s="158" t="s">
        <v>201</v>
      </c>
      <c r="AM123" s="158" t="s">
        <v>202</v>
      </c>
    </row>
    <row r="124" spans="17:39" ht="12.75" hidden="1">
      <c r="Q124" s="158"/>
      <c r="R124" s="158"/>
      <c r="S124" s="158"/>
      <c r="X124" s="158"/>
      <c r="Y124" s="158"/>
      <c r="Z124" s="158"/>
      <c r="AA124" s="158"/>
      <c r="AB124" s="158">
        <f>AB123</f>
        <v>9</v>
      </c>
      <c r="AC124" s="158">
        <f>AC123</f>
        <v>1</v>
      </c>
      <c r="AD124" s="158"/>
      <c r="AE124" s="158"/>
      <c r="AF124" s="158"/>
      <c r="AG124" s="158"/>
      <c r="AH124" s="158"/>
      <c r="AI124" s="158"/>
      <c r="AJ124" s="158"/>
      <c r="AK124" s="158">
        <v>6</v>
      </c>
      <c r="AL124" s="158" t="s">
        <v>203</v>
      </c>
      <c r="AM124" s="158" t="s">
        <v>204</v>
      </c>
    </row>
    <row r="125" spans="17:39" ht="12.75" hidden="1">
      <c r="Q125" s="158"/>
      <c r="R125" s="158"/>
      <c r="S125" s="158"/>
      <c r="X125" s="158"/>
      <c r="Y125" s="158"/>
      <c r="Z125" s="158"/>
      <c r="AA125" s="158"/>
      <c r="AB125" s="158"/>
      <c r="AC125" s="158"/>
      <c r="AD125" s="158"/>
      <c r="AE125" s="158"/>
      <c r="AF125" s="158"/>
      <c r="AG125" s="158"/>
      <c r="AH125" s="158"/>
      <c r="AI125" s="158"/>
      <c r="AJ125" s="158"/>
      <c r="AK125" s="158">
        <v>7</v>
      </c>
      <c r="AL125" s="158" t="s">
        <v>205</v>
      </c>
      <c r="AM125" s="158" t="s">
        <v>206</v>
      </c>
    </row>
    <row r="126" spans="17:39" ht="12.75" hidden="1">
      <c r="Q126" s="158"/>
      <c r="R126" s="158"/>
      <c r="S126" s="158"/>
      <c r="X126" s="158"/>
      <c r="Y126" s="158"/>
      <c r="Z126" s="158"/>
      <c r="AA126" s="158"/>
      <c r="AB126" s="158"/>
      <c r="AC126" s="158"/>
      <c r="AD126" s="158"/>
      <c r="AE126" s="158"/>
      <c r="AF126" s="158"/>
      <c r="AG126" s="158"/>
      <c r="AH126" s="158"/>
      <c r="AI126" s="158"/>
      <c r="AJ126" s="158"/>
      <c r="AK126" s="158">
        <v>8</v>
      </c>
      <c r="AL126" s="158" t="s">
        <v>207</v>
      </c>
      <c r="AM126" s="158" t="s">
        <v>208</v>
      </c>
    </row>
    <row r="127" spans="17:39" ht="12.75" hidden="1">
      <c r="Q127" s="158"/>
      <c r="R127" s="158"/>
      <c r="S127" s="158"/>
      <c r="X127" s="158">
        <f>TRIM(AD120&amp;" "&amp;AE120&amp;" "&amp;AF120&amp;" "&amp;AG120&amp;" "&amp;AH120&amp;" "&amp;AI120&amp;" "&amp;AJ120)</f>
      </c>
      <c r="Y127" s="158"/>
      <c r="Z127" s="158"/>
      <c r="AA127" s="158"/>
      <c r="AB127" s="158"/>
      <c r="AC127" s="158"/>
      <c r="AD127" s="158"/>
      <c r="AE127" s="158"/>
      <c r="AF127" s="158"/>
      <c r="AG127" s="158"/>
      <c r="AH127" s="158"/>
      <c r="AI127" s="158"/>
      <c r="AJ127" s="158"/>
      <c r="AK127" s="158">
        <v>9</v>
      </c>
      <c r="AL127" s="158" t="s">
        <v>209</v>
      </c>
      <c r="AM127" s="158" t="s">
        <v>210</v>
      </c>
    </row>
    <row r="128" spans="17:39" ht="12.75" hidden="1">
      <c r="Q128" s="158"/>
      <c r="R128" s="158"/>
      <c r="S128" s="158"/>
      <c r="X128" s="158" t="str">
        <f>TRIM(AD121&amp;" "&amp;AE121&amp;" "&amp;AF121&amp;" "&amp;AG121&amp;" "&amp;AH121&amp;" "&amp;AI121&amp;" "&amp;AJ121)</f>
        <v>Twelve thousand</v>
      </c>
      <c r="Y128" s="158"/>
      <c r="Z128" s="158"/>
      <c r="AA128" s="158"/>
      <c r="AB128" s="158"/>
      <c r="AC128" s="158"/>
      <c r="AD128" s="158"/>
      <c r="AE128" s="158"/>
      <c r="AF128" s="158"/>
      <c r="AG128" s="158"/>
      <c r="AH128" s="158"/>
      <c r="AI128" s="158"/>
      <c r="AJ128" s="158"/>
      <c r="AK128" s="158">
        <v>10</v>
      </c>
      <c r="AL128" s="158" t="s">
        <v>211</v>
      </c>
      <c r="AM128" s="158"/>
    </row>
    <row r="129" spans="17:39" ht="12.75" hidden="1">
      <c r="Q129" s="158"/>
      <c r="R129" s="158"/>
      <c r="S129" s="158"/>
      <c r="X129" s="158" t="str">
        <f>TRIM(AD122&amp;" "&amp;AE122&amp;" "&amp;AF122&amp;" "&amp;AG122&amp;" "&amp;AH122&amp;" "&amp;AI122&amp;" "&amp;AJ122)</f>
        <v>Nine hundred</v>
      </c>
      <c r="Y129" s="158"/>
      <c r="Z129" s="158"/>
      <c r="AA129" s="158"/>
      <c r="AB129" s="158"/>
      <c r="AC129" s="158"/>
      <c r="AD129" s="158"/>
      <c r="AE129" s="158"/>
      <c r="AF129" s="158"/>
      <c r="AG129" s="158"/>
      <c r="AH129" s="158"/>
      <c r="AI129" s="158"/>
      <c r="AJ129" s="158"/>
      <c r="AK129" s="158">
        <v>11</v>
      </c>
      <c r="AL129" s="158" t="s">
        <v>212</v>
      </c>
      <c r="AM129" s="158"/>
    </row>
    <row r="130" spans="17:39" ht="12.75" hidden="1">
      <c r="Q130" s="158"/>
      <c r="R130" s="158"/>
      <c r="S130" s="158"/>
      <c r="X130" s="158" t="str">
        <f>TRIM(AD123&amp;" "&amp;AE123&amp;" "&amp;AF123&amp;" "&amp;AG123&amp;" "&amp;AH123)</f>
        <v>Ninety One</v>
      </c>
      <c r="Y130" s="158"/>
      <c r="Z130" s="158"/>
      <c r="AA130" s="158"/>
      <c r="AB130" s="158"/>
      <c r="AC130" s="158"/>
      <c r="AD130" s="158"/>
      <c r="AE130" s="158"/>
      <c r="AF130" s="158"/>
      <c r="AG130" s="158"/>
      <c r="AH130" s="158"/>
      <c r="AI130" s="158"/>
      <c r="AJ130" s="158"/>
      <c r="AK130" s="158">
        <v>12</v>
      </c>
      <c r="AL130" s="158" t="s">
        <v>213</v>
      </c>
      <c r="AM130" s="158"/>
    </row>
    <row r="131" spans="17:39" ht="12.75" hidden="1">
      <c r="Q131" s="158"/>
      <c r="R131" s="158"/>
      <c r="S131" s="158"/>
      <c r="X131" s="158" t="str">
        <f>TRIM(X127&amp;" "&amp;X128&amp;" "&amp;X129&amp;" "&amp;X130)&amp;" only"</f>
        <v>Twelve thousand Nine hundred Ninety One only</v>
      </c>
      <c r="Y131" s="158"/>
      <c r="Z131" s="158"/>
      <c r="AA131" s="158"/>
      <c r="AB131" s="158"/>
      <c r="AC131" s="158"/>
      <c r="AD131" s="158"/>
      <c r="AE131" s="158"/>
      <c r="AF131" s="158"/>
      <c r="AG131" s="158"/>
      <c r="AH131" s="158"/>
      <c r="AI131" s="158"/>
      <c r="AJ131" s="158"/>
      <c r="AK131" s="158">
        <v>13</v>
      </c>
      <c r="AL131" s="158" t="s">
        <v>214</v>
      </c>
      <c r="AM131" s="158"/>
    </row>
    <row r="132" spans="17:39" ht="12.75" hidden="1">
      <c r="Q132" s="158"/>
      <c r="R132" s="158"/>
      <c r="S132" s="158"/>
      <c r="X132" s="158"/>
      <c r="Y132" s="158"/>
      <c r="Z132" s="158"/>
      <c r="AA132" s="158"/>
      <c r="AB132" s="158"/>
      <c r="AC132" s="158"/>
      <c r="AD132" s="158"/>
      <c r="AE132" s="158"/>
      <c r="AF132" s="158"/>
      <c r="AG132" s="158"/>
      <c r="AH132" s="158"/>
      <c r="AI132" s="158"/>
      <c r="AJ132" s="158"/>
      <c r="AK132" s="158">
        <v>14</v>
      </c>
      <c r="AL132" s="158" t="s">
        <v>215</v>
      </c>
      <c r="AM132" s="158"/>
    </row>
    <row r="133" spans="17:39" ht="12.75" hidden="1">
      <c r="Q133" s="158"/>
      <c r="R133" s="158"/>
      <c r="S133" s="158"/>
      <c r="X133" s="158"/>
      <c r="Y133" s="158"/>
      <c r="Z133" s="158"/>
      <c r="AA133" s="158"/>
      <c r="AB133" s="158"/>
      <c r="AC133" s="158"/>
      <c r="AD133" s="158"/>
      <c r="AE133" s="158"/>
      <c r="AF133" s="158"/>
      <c r="AG133" s="158"/>
      <c r="AH133" s="158"/>
      <c r="AI133" s="158"/>
      <c r="AJ133" s="158"/>
      <c r="AK133" s="158">
        <v>15</v>
      </c>
      <c r="AL133" s="158" t="s">
        <v>216</v>
      </c>
      <c r="AM133" s="158"/>
    </row>
    <row r="134" spans="17:39" ht="12.75" hidden="1">
      <c r="Q134" s="158"/>
      <c r="R134" s="158"/>
      <c r="S134" s="158"/>
      <c r="X134" s="158"/>
      <c r="Y134" s="158"/>
      <c r="Z134" s="158"/>
      <c r="AA134" s="158"/>
      <c r="AB134" s="158"/>
      <c r="AC134" s="158"/>
      <c r="AD134" s="158"/>
      <c r="AE134" s="158"/>
      <c r="AF134" s="158"/>
      <c r="AG134" s="158"/>
      <c r="AH134" s="158"/>
      <c r="AI134" s="158"/>
      <c r="AJ134" s="158"/>
      <c r="AK134" s="158">
        <v>16</v>
      </c>
      <c r="AL134" s="158" t="s">
        <v>217</v>
      </c>
      <c r="AM134" s="158"/>
    </row>
    <row r="135" spans="17:39" ht="12.75" hidden="1">
      <c r="Q135" s="158"/>
      <c r="R135" s="158"/>
      <c r="S135" s="158"/>
      <c r="X135" s="158"/>
      <c r="Y135" s="158"/>
      <c r="Z135" s="158"/>
      <c r="AA135" s="158"/>
      <c r="AB135" s="158"/>
      <c r="AC135" s="158"/>
      <c r="AD135" s="158"/>
      <c r="AE135" s="158"/>
      <c r="AF135" s="158"/>
      <c r="AG135" s="158"/>
      <c r="AH135" s="158"/>
      <c r="AI135" s="158"/>
      <c r="AJ135" s="158"/>
      <c r="AK135" s="158">
        <v>17</v>
      </c>
      <c r="AL135" s="158" t="s">
        <v>218</v>
      </c>
      <c r="AM135" s="158"/>
    </row>
    <row r="136" spans="17:39" ht="12.75" hidden="1">
      <c r="Q136" s="158"/>
      <c r="R136" s="158"/>
      <c r="S136" s="158"/>
      <c r="X136" s="158"/>
      <c r="Y136" s="158"/>
      <c r="Z136" s="158"/>
      <c r="AA136" s="158"/>
      <c r="AB136" s="158"/>
      <c r="AC136" s="158"/>
      <c r="AD136" s="158"/>
      <c r="AE136" s="158"/>
      <c r="AF136" s="158"/>
      <c r="AG136" s="158"/>
      <c r="AH136" s="158"/>
      <c r="AI136" s="158"/>
      <c r="AJ136" s="158"/>
      <c r="AK136" s="158">
        <v>18</v>
      </c>
      <c r="AL136" s="158" t="s">
        <v>219</v>
      </c>
      <c r="AM136" s="158"/>
    </row>
    <row r="137" spans="17:39" ht="12.75" hidden="1">
      <c r="Q137" s="158"/>
      <c r="R137" s="158"/>
      <c r="S137" s="158"/>
      <c r="X137" s="158"/>
      <c r="Y137" s="158"/>
      <c r="Z137" s="158"/>
      <c r="AA137" s="158"/>
      <c r="AB137" s="158"/>
      <c r="AC137" s="158"/>
      <c r="AD137" s="158"/>
      <c r="AE137" s="158"/>
      <c r="AF137" s="158"/>
      <c r="AG137" s="158"/>
      <c r="AH137" s="158"/>
      <c r="AI137" s="158"/>
      <c r="AJ137" s="158"/>
      <c r="AK137" s="158">
        <v>19</v>
      </c>
      <c r="AL137" s="158" t="s">
        <v>220</v>
      </c>
      <c r="AM137" s="158"/>
    </row>
    <row r="138" spans="17:39" ht="12.75" hidden="1">
      <c r="Q138" s="158"/>
      <c r="R138" s="158"/>
      <c r="S138" s="158"/>
      <c r="X138" s="158"/>
      <c r="Y138" s="158"/>
      <c r="Z138" s="158"/>
      <c r="AA138" s="158"/>
      <c r="AB138" s="158"/>
      <c r="AC138" s="158"/>
      <c r="AD138" s="158"/>
      <c r="AE138" s="158"/>
      <c r="AF138" s="158"/>
      <c r="AG138" s="158"/>
      <c r="AH138" s="158"/>
      <c r="AI138" s="158"/>
      <c r="AJ138" s="158"/>
      <c r="AK138" s="158">
        <v>20</v>
      </c>
      <c r="AL138" s="158" t="s">
        <v>196</v>
      </c>
      <c r="AM138" s="158"/>
    </row>
    <row r="139" spans="17:39" ht="12.75" hidden="1">
      <c r="Q139" s="158"/>
      <c r="R139" s="158"/>
      <c r="S139" s="158"/>
      <c r="X139" s="158"/>
      <c r="Y139" s="158"/>
      <c r="Z139" s="158"/>
      <c r="AA139" s="158"/>
      <c r="AB139" s="158"/>
      <c r="AC139" s="158"/>
      <c r="AD139" s="158"/>
      <c r="AE139" s="158"/>
      <c r="AF139" s="158"/>
      <c r="AG139" s="158"/>
      <c r="AH139" s="158"/>
      <c r="AI139" s="158"/>
      <c r="AJ139" s="158"/>
      <c r="AK139" s="158">
        <v>30</v>
      </c>
      <c r="AL139" s="158" t="s">
        <v>198</v>
      </c>
      <c r="AM139" s="158"/>
    </row>
    <row r="140" spans="24:39" ht="12.75" hidden="1">
      <c r="X140" s="158"/>
      <c r="Y140" s="158"/>
      <c r="Z140" s="158"/>
      <c r="AA140" s="158"/>
      <c r="AB140" s="158"/>
      <c r="AC140" s="158"/>
      <c r="AD140" s="158"/>
      <c r="AE140" s="158"/>
      <c r="AF140" s="158"/>
      <c r="AG140" s="158"/>
      <c r="AH140" s="158"/>
      <c r="AI140" s="158"/>
      <c r="AJ140" s="158"/>
      <c r="AK140" s="158">
        <v>40</v>
      </c>
      <c r="AL140" s="158" t="s">
        <v>200</v>
      </c>
      <c r="AM140" s="158"/>
    </row>
    <row r="141" spans="24:39" ht="12.75" hidden="1">
      <c r="X141" s="158"/>
      <c r="Y141" s="158"/>
      <c r="Z141" s="158"/>
      <c r="AA141" s="158"/>
      <c r="AB141" s="158"/>
      <c r="AC141" s="158"/>
      <c r="AD141" s="158"/>
      <c r="AE141" s="158"/>
      <c r="AF141" s="158"/>
      <c r="AG141" s="158"/>
      <c r="AH141" s="158"/>
      <c r="AI141" s="158"/>
      <c r="AJ141" s="158"/>
      <c r="AK141" s="158">
        <v>50</v>
      </c>
      <c r="AL141" s="158" t="s">
        <v>202</v>
      </c>
      <c r="AM141" s="158"/>
    </row>
    <row r="142" spans="24:39" ht="12.75" hidden="1">
      <c r="X142" s="158"/>
      <c r="Y142" s="158"/>
      <c r="Z142" s="158"/>
      <c r="AA142" s="158"/>
      <c r="AB142" s="158"/>
      <c r="AC142" s="158"/>
      <c r="AD142" s="158"/>
      <c r="AE142" s="158"/>
      <c r="AF142" s="158"/>
      <c r="AG142" s="158"/>
      <c r="AH142" s="158"/>
      <c r="AI142" s="158"/>
      <c r="AJ142" s="158"/>
      <c r="AK142" s="158">
        <v>60</v>
      </c>
      <c r="AL142" s="158" t="s">
        <v>204</v>
      </c>
      <c r="AM142" s="158"/>
    </row>
    <row r="143" spans="24:39" ht="12.75" hidden="1">
      <c r="X143" s="158"/>
      <c r="Y143" s="158"/>
      <c r="Z143" s="158"/>
      <c r="AA143" s="158"/>
      <c r="AB143" s="158"/>
      <c r="AC143" s="158"/>
      <c r="AD143" s="158"/>
      <c r="AE143" s="158"/>
      <c r="AF143" s="158"/>
      <c r="AG143" s="158"/>
      <c r="AH143" s="158"/>
      <c r="AI143" s="158"/>
      <c r="AJ143" s="158"/>
      <c r="AK143" s="158">
        <v>70</v>
      </c>
      <c r="AL143" s="158" t="s">
        <v>206</v>
      </c>
      <c r="AM143" s="158"/>
    </row>
    <row r="144" spans="24:39" ht="12.75" hidden="1">
      <c r="X144" s="158"/>
      <c r="Y144" s="158"/>
      <c r="Z144" s="158"/>
      <c r="AA144" s="158"/>
      <c r="AB144" s="158"/>
      <c r="AC144" s="158"/>
      <c r="AD144" s="158"/>
      <c r="AE144" s="158"/>
      <c r="AF144" s="158"/>
      <c r="AG144" s="158"/>
      <c r="AH144" s="158"/>
      <c r="AI144" s="158"/>
      <c r="AJ144" s="158"/>
      <c r="AK144" s="158">
        <v>80</v>
      </c>
      <c r="AL144" s="158" t="s">
        <v>208</v>
      </c>
      <c r="AM144" s="158"/>
    </row>
    <row r="145" spans="24:39" ht="12.75" hidden="1">
      <c r="X145" s="158"/>
      <c r="Y145" s="158"/>
      <c r="Z145" s="158"/>
      <c r="AA145" s="158"/>
      <c r="AB145" s="158"/>
      <c r="AC145" s="158"/>
      <c r="AD145" s="158"/>
      <c r="AE145" s="158"/>
      <c r="AF145" s="158"/>
      <c r="AG145" s="158"/>
      <c r="AH145" s="158"/>
      <c r="AI145" s="158"/>
      <c r="AJ145" s="158"/>
      <c r="AK145" s="158">
        <v>90</v>
      </c>
      <c r="AL145" s="158" t="s">
        <v>210</v>
      </c>
      <c r="AM145" s="158"/>
    </row>
    <row r="146" ht="12.75" hidden="1">
      <c r="AJ146" s="88"/>
    </row>
    <row r="147" spans="24:39" ht="12.75" hidden="1">
      <c r="X147" s="159">
        <f>'[2]pf'!F11</f>
        <v>2917</v>
      </c>
      <c r="Y147" s="158">
        <f>(X147-X150)/1000</f>
        <v>2</v>
      </c>
      <c r="Z147" s="158"/>
      <c r="AA147" s="158"/>
      <c r="AB147" s="158"/>
      <c r="AC147" s="158"/>
      <c r="AD147" s="158"/>
      <c r="AE147" s="158"/>
      <c r="AF147" s="158"/>
      <c r="AG147" s="158"/>
      <c r="AH147" s="158"/>
      <c r="AI147" s="158"/>
      <c r="AJ147" s="158"/>
      <c r="AK147" s="158">
        <v>1</v>
      </c>
      <c r="AL147" s="158" t="s">
        <v>194</v>
      </c>
      <c r="AM147" s="158"/>
    </row>
    <row r="148" spans="24:39" ht="12.75" hidden="1">
      <c r="X148" s="158">
        <f>(Y147-X149)/100</f>
        <v>0</v>
      </c>
      <c r="Y148" s="158">
        <f>X148</f>
        <v>0</v>
      </c>
      <c r="Z148" s="158">
        <f>RIGHT(Y148,2)*1</f>
        <v>0</v>
      </c>
      <c r="AA148" s="158">
        <f>(Y148-Z148)/100</f>
        <v>0</v>
      </c>
      <c r="AB148" s="158">
        <f>(Z148-RIGHT(Z148,1)*1)/10</f>
        <v>0</v>
      </c>
      <c r="AC148" s="158">
        <f>RIGHT(Y148,1)*1</f>
        <v>0</v>
      </c>
      <c r="AD148" s="158" t="str">
        <f>IF(AB148=AK148,AM148,IF(AB148=AK149,AM149,IF(AB148=AK150,AM150,IF(AB148=AK151,AM151,IF(AB148=AK152,AM152,IF(AB148=AK153,AM153,IF(AB148=AK154,AM154,IF(AB148=AK155,AM155," "))))))))</f>
        <v> </v>
      </c>
      <c r="AE148" s="158" t="str">
        <f>IF(AB148=1," ",IF(AC148=AK147,AL147,IF(AC148=AK148,AL148,IF(AC148=AK149,AL149,IF(AC148=AK150,AL150,IF(AC148=AK151,AL151,IF(AC148=AK152,AL152," ")))))))</f>
        <v> </v>
      </c>
      <c r="AF148" s="158" t="str">
        <f>IF(AB148=1," ",IF(AC148=AK153,AL153,IF(AC148=AK154,AL154,IF(AC148=AK155,AL155," "))))</f>
        <v> </v>
      </c>
      <c r="AG148" s="158" t="str">
        <f>IF(AB148=0," ",IF(AB148&gt;1," ",IF(AC148=AK148,AL158,IF(AC148=AK149,AL159,IF(AC148=AK150,AL160,IF(AC148=AK151,AL161,IF(AC148=AK152,AL162,IF(AC148=AK153,AL163," "))))))))</f>
        <v> </v>
      </c>
      <c r="AH148" s="158" t="str">
        <f>IF(AB148=0," ",IF(AB148&gt;1," ",IF(AC148=AK154,AL164,IF(AC148=AK155,AL165,IF(AC148=AK147,AL157,IF(AC148=0,AL156," "))))))</f>
        <v> </v>
      </c>
      <c r="AI148" s="158" t="str">
        <f>IF(AB148=0," ","lakh")</f>
        <v> </v>
      </c>
      <c r="AJ148" s="158" t="str">
        <f>IF(AC148=0," ",IF(AB148&gt;0," ","lakh"))</f>
        <v> </v>
      </c>
      <c r="AK148" s="158">
        <v>2</v>
      </c>
      <c r="AL148" s="158" t="s">
        <v>195</v>
      </c>
      <c r="AM148" s="158" t="s">
        <v>196</v>
      </c>
    </row>
    <row r="149" spans="24:39" ht="12.75" hidden="1">
      <c r="X149" s="158">
        <f>RIGHT(Y147,2)*1</f>
        <v>2</v>
      </c>
      <c r="Y149" s="158">
        <f>X149</f>
        <v>2</v>
      </c>
      <c r="Z149" s="158">
        <f>RIGHT(Y149,2)*1</f>
        <v>2</v>
      </c>
      <c r="AA149" s="158">
        <f>(Y149-Z149)/100</f>
        <v>0</v>
      </c>
      <c r="AB149" s="158">
        <f>(Z149-RIGHT(Z149,1)*1)/10</f>
        <v>0</v>
      </c>
      <c r="AC149" s="158">
        <f>RIGHT(Y149,1)*1</f>
        <v>2</v>
      </c>
      <c r="AD149" s="158" t="str">
        <f>IF(AB149=AK148,AM148,IF(AB149=AK149,AM149,IF(AB149=AK150,AM150,IF(AB149=AK151,AM151,IF(AB149=AK152,AM152,IF(AB149=AK153,AM153,IF(AB149=AK154,AM154,IF(AB149=AK155,AM155," "))))))))</f>
        <v> </v>
      </c>
      <c r="AE149" s="158" t="str">
        <f>IF(AB149=1," ",IF(AC149=AK147,AL147,IF(AC149=AK148,AL148,IF(AC149=AK149,AL149,IF(AC149=AK150,AL150,IF(AC149=AK151,AL151,IF(AC149=AK152,AL152," ")))))))</f>
        <v>Two</v>
      </c>
      <c r="AF149" s="158" t="str">
        <f>IF(AB149=1," ",IF(AC149=AK153,AL153,IF(AC149=AK154,AL154,IF(AC149=AK155,AL155," "))))</f>
        <v> </v>
      </c>
      <c r="AG149" s="158" t="str">
        <f>IF(AB149=0," ",IF(AB149&gt;1," ",IF(AC149=AK148,AL158,IF(AC149=AK149,AL159,IF(AC149=AK150,AL160,IF(AC149=AK151,AL161,IF(AC149=AK152,AL162,IF(AC149=AK153,AL163," "))))))))</f>
        <v> </v>
      </c>
      <c r="AH149" s="158" t="str">
        <f>IF(AB149=0," ",IF(AB149&gt;1," ",IF(AC149=AK154,AL164,IF(AC149=AK155,AL165,IF(AC149=AK147,AL157,IF(AC149=0,AL156," "))))))</f>
        <v> </v>
      </c>
      <c r="AI149" s="158" t="str">
        <f>IF(AB149=0," ","thousand")</f>
        <v> </v>
      </c>
      <c r="AJ149" s="158" t="str">
        <f>IF(AC149=0," ",IF(AB149&gt;0," ","thousand"))</f>
        <v>thousand</v>
      </c>
      <c r="AK149" s="158">
        <v>3</v>
      </c>
      <c r="AL149" s="158" t="s">
        <v>197</v>
      </c>
      <c r="AM149" s="158" t="s">
        <v>198</v>
      </c>
    </row>
    <row r="150" spans="24:39" ht="12.75" hidden="1">
      <c r="X150" s="158">
        <f>RIGHT(X147,3)*1</f>
        <v>917</v>
      </c>
      <c r="Y150" s="158">
        <f>X150</f>
        <v>917</v>
      </c>
      <c r="Z150" s="158">
        <f>ROUND((Y150-AA151)/100,0)</f>
        <v>9</v>
      </c>
      <c r="AA150" s="158"/>
      <c r="AB150" s="158"/>
      <c r="AC150" s="158"/>
      <c r="AD150" s="158"/>
      <c r="AE150" s="158" t="str">
        <f>IF(Z150=0," ",IF(Z150=AK147,AL147,IF(Z150=AK148,AL148,IF(Z150=AK149,AL149,IF(Z150=AK150,AL150,IF(Z150=AK151,AL151,IF(Z150=AK152,AL152," ")))))))</f>
        <v> </v>
      </c>
      <c r="AF150" s="158" t="str">
        <f>IF(Z150=0," ",IF(Z150=AK153,AL153,IF(Z150=AK154,AL154,IF(Z150=AK155,AL155," "))))</f>
        <v>Nine</v>
      </c>
      <c r="AG150" s="158"/>
      <c r="AH150" s="158"/>
      <c r="AI150" s="158" t="str">
        <f>IF(Z150=0," ","hundred")</f>
        <v>hundred</v>
      </c>
      <c r="AJ150" s="158"/>
      <c r="AK150" s="158">
        <v>4</v>
      </c>
      <c r="AL150" s="158" t="s">
        <v>199</v>
      </c>
      <c r="AM150" s="158" t="s">
        <v>200</v>
      </c>
    </row>
    <row r="151" spans="24:39" ht="12.75" hidden="1">
      <c r="X151" s="158"/>
      <c r="Y151" s="158"/>
      <c r="Z151" s="158"/>
      <c r="AA151" s="158">
        <f>RIGHT(Y150,2)*1</f>
        <v>17</v>
      </c>
      <c r="AB151" s="158">
        <f>(AA151-RIGHT(AA151,1)*1)/10</f>
        <v>1</v>
      </c>
      <c r="AC151" s="158">
        <f>RIGHT(Y150,1)*1</f>
        <v>7</v>
      </c>
      <c r="AD151" s="158" t="str">
        <f>IF(AB151=AK148,AM148,IF(AB151=AK149,AM149,IF(AB151=AK150,AM150,IF(AB151=AK151,AM151,IF(AB151=AK152,AM152,IF(AB151=AK153,AM153,IF(AB151=AK154,AM154,IF(AB151=AK155,AM155," "))))))))</f>
        <v> </v>
      </c>
      <c r="AE151" s="158" t="str">
        <f>IF(AB151=1," ",IF(AC151=AK147,AL147,IF(AC151=AK148,AL148,IF(AC151=AK149,AL149,IF(AC151=AK150,AL150,IF(AC151=AK151,AL151,IF(AC151=AK152,AL152," ")))))))</f>
        <v> </v>
      </c>
      <c r="AF151" s="158" t="str">
        <f>IF(AB151=1," ",IF(AC151=AK153,AL153,IF(AC151=AK154,AL154,IF(AC151=AK155,AL155," "))))</f>
        <v> </v>
      </c>
      <c r="AG151" s="158" t="str">
        <f>IF(AB151=0," ",IF(AB151&gt;1," ",IF(AC151=AK148,AL158,IF(AC151=AK149,AL159,IF(AC151=AK150,AL160,IF(AC151=AK151,AL161,IF(AC151=AL162,AL152,IF(AC151=AK153,AL163," "))))))))</f>
        <v>Seventeen</v>
      </c>
      <c r="AH151" s="158" t="str">
        <f>IF(AB151=0," ",IF(AB151&gt;1," ",IF(AC151=AK154,AL164,IF(AC151=AK155,AL165,IF(AC151=AK147,AL157,IF(AC151=0,AL156," "))))))</f>
        <v> </v>
      </c>
      <c r="AI151" s="158"/>
      <c r="AJ151" s="158"/>
      <c r="AK151" s="158">
        <v>5</v>
      </c>
      <c r="AL151" s="158" t="s">
        <v>201</v>
      </c>
      <c r="AM151" s="158" t="s">
        <v>202</v>
      </c>
    </row>
    <row r="152" spans="24:39" ht="12.75" hidden="1">
      <c r="X152" s="158"/>
      <c r="Y152" s="158"/>
      <c r="Z152" s="158"/>
      <c r="AA152" s="158"/>
      <c r="AB152" s="158">
        <f>AB151</f>
        <v>1</v>
      </c>
      <c r="AC152" s="158">
        <f>AC151</f>
        <v>7</v>
      </c>
      <c r="AD152" s="158"/>
      <c r="AE152" s="158"/>
      <c r="AF152" s="158"/>
      <c r="AG152" s="158"/>
      <c r="AH152" s="158"/>
      <c r="AI152" s="158"/>
      <c r="AJ152" s="158"/>
      <c r="AK152" s="158">
        <v>6</v>
      </c>
      <c r="AL152" s="158" t="s">
        <v>203</v>
      </c>
      <c r="AM152" s="158" t="s">
        <v>204</v>
      </c>
    </row>
    <row r="153" spans="24:39" ht="12.75" hidden="1">
      <c r="X153" s="158"/>
      <c r="Y153" s="158"/>
      <c r="Z153" s="158"/>
      <c r="AA153" s="158"/>
      <c r="AB153" s="158"/>
      <c r="AC153" s="158"/>
      <c r="AD153" s="158"/>
      <c r="AE153" s="158"/>
      <c r="AF153" s="158"/>
      <c r="AG153" s="158"/>
      <c r="AH153" s="158"/>
      <c r="AI153" s="158"/>
      <c r="AJ153" s="158"/>
      <c r="AK153" s="158">
        <v>7</v>
      </c>
      <c r="AL153" s="158" t="s">
        <v>205</v>
      </c>
      <c r="AM153" s="158" t="s">
        <v>206</v>
      </c>
    </row>
    <row r="154" spans="24:39" ht="12.75" hidden="1">
      <c r="X154" s="158"/>
      <c r="Y154" s="158"/>
      <c r="Z154" s="158"/>
      <c r="AA154" s="158"/>
      <c r="AB154" s="158"/>
      <c r="AC154" s="158"/>
      <c r="AD154" s="158"/>
      <c r="AE154" s="158"/>
      <c r="AF154" s="158"/>
      <c r="AG154" s="158"/>
      <c r="AH154" s="158"/>
      <c r="AI154" s="158"/>
      <c r="AJ154" s="158"/>
      <c r="AK154" s="158">
        <v>8</v>
      </c>
      <c r="AL154" s="158" t="s">
        <v>207</v>
      </c>
      <c r="AM154" s="158" t="s">
        <v>208</v>
      </c>
    </row>
    <row r="155" spans="24:39" ht="12.75" hidden="1">
      <c r="X155" s="158">
        <f>TRIM(AD148&amp;" "&amp;AE148&amp;" "&amp;AF148&amp;" "&amp;AG148&amp;" "&amp;AH148&amp;" "&amp;AI148&amp;" "&amp;AJ148)</f>
      </c>
      <c r="Y155" s="158"/>
      <c r="Z155" s="158"/>
      <c r="AA155" s="158"/>
      <c r="AB155" s="158"/>
      <c r="AC155" s="158"/>
      <c r="AD155" s="158"/>
      <c r="AE155" s="158"/>
      <c r="AF155" s="158"/>
      <c r="AG155" s="158"/>
      <c r="AH155" s="158"/>
      <c r="AI155" s="158"/>
      <c r="AJ155" s="158"/>
      <c r="AK155" s="158">
        <v>9</v>
      </c>
      <c r="AL155" s="158" t="s">
        <v>209</v>
      </c>
      <c r="AM155" s="158" t="s">
        <v>210</v>
      </c>
    </row>
    <row r="156" spans="24:39" ht="12.75" hidden="1">
      <c r="X156" s="158" t="str">
        <f>TRIM(AD149&amp;" "&amp;AE149&amp;" "&amp;AF149&amp;" "&amp;AG149&amp;" "&amp;AH149&amp;" "&amp;AI149&amp;" "&amp;AJ149)</f>
        <v>Two thousand</v>
      </c>
      <c r="Y156" s="158"/>
      <c r="Z156" s="158"/>
      <c r="AA156" s="158"/>
      <c r="AB156" s="158"/>
      <c r="AC156" s="158"/>
      <c r="AD156" s="158"/>
      <c r="AE156" s="158"/>
      <c r="AF156" s="158"/>
      <c r="AG156" s="158"/>
      <c r="AH156" s="158"/>
      <c r="AI156" s="158"/>
      <c r="AJ156" s="158"/>
      <c r="AK156" s="158">
        <v>10</v>
      </c>
      <c r="AL156" s="158" t="s">
        <v>211</v>
      </c>
      <c r="AM156" s="158"/>
    </row>
    <row r="157" spans="24:39" ht="12.75" hidden="1">
      <c r="X157" s="158" t="str">
        <f>TRIM(AD150&amp;" "&amp;AE150&amp;" "&amp;AF150&amp;" "&amp;AG150&amp;" "&amp;AH150&amp;" "&amp;AI150&amp;" "&amp;AJ150)</f>
        <v>Nine hundred</v>
      </c>
      <c r="Y157" s="158"/>
      <c r="Z157" s="158"/>
      <c r="AA157" s="158"/>
      <c r="AB157" s="158"/>
      <c r="AC157" s="158"/>
      <c r="AD157" s="158"/>
      <c r="AE157" s="158"/>
      <c r="AF157" s="158"/>
      <c r="AG157" s="158"/>
      <c r="AH157" s="158"/>
      <c r="AI157" s="158"/>
      <c r="AJ157" s="158"/>
      <c r="AK157" s="158">
        <v>11</v>
      </c>
      <c r="AL157" s="158" t="s">
        <v>212</v>
      </c>
      <c r="AM157" s="158"/>
    </row>
    <row r="158" spans="24:39" ht="12.75" hidden="1">
      <c r="X158" s="158" t="str">
        <f>TRIM(AD151&amp;" "&amp;AE151&amp;" "&amp;AF151&amp;" "&amp;AG151&amp;" "&amp;AH151)</f>
        <v>Seventeen</v>
      </c>
      <c r="Y158" s="158"/>
      <c r="Z158" s="158"/>
      <c r="AA158" s="158"/>
      <c r="AB158" s="158"/>
      <c r="AC158" s="158"/>
      <c r="AD158" s="158"/>
      <c r="AE158" s="158"/>
      <c r="AF158" s="158"/>
      <c r="AG158" s="158"/>
      <c r="AH158" s="158"/>
      <c r="AI158" s="158"/>
      <c r="AJ158" s="158"/>
      <c r="AK158" s="158">
        <v>12</v>
      </c>
      <c r="AL158" s="158" t="s">
        <v>213</v>
      </c>
      <c r="AM158" s="158"/>
    </row>
    <row r="159" spans="24:39" ht="12.75" hidden="1">
      <c r="X159" s="158" t="str">
        <f>TRIM(X155&amp;" "&amp;X156&amp;" "&amp;X157&amp;" "&amp;X158)&amp;" only"</f>
        <v>Two thousand Nine hundred Seventeen only</v>
      </c>
      <c r="Y159" s="158"/>
      <c r="Z159" s="158"/>
      <c r="AA159" s="158"/>
      <c r="AB159" s="158"/>
      <c r="AC159" s="158"/>
      <c r="AD159" s="158"/>
      <c r="AE159" s="158"/>
      <c r="AF159" s="158"/>
      <c r="AG159" s="158"/>
      <c r="AH159" s="158"/>
      <c r="AI159" s="158"/>
      <c r="AJ159" s="158"/>
      <c r="AK159" s="158">
        <v>13</v>
      </c>
      <c r="AL159" s="158" t="s">
        <v>214</v>
      </c>
      <c r="AM159" s="158"/>
    </row>
    <row r="160" spans="24:39" ht="12.75" hidden="1">
      <c r="X160" s="158"/>
      <c r="Y160" s="158"/>
      <c r="Z160" s="158"/>
      <c r="AA160" s="158"/>
      <c r="AB160" s="158"/>
      <c r="AC160" s="158"/>
      <c r="AD160" s="158"/>
      <c r="AE160" s="158"/>
      <c r="AF160" s="158"/>
      <c r="AG160" s="158"/>
      <c r="AH160" s="158"/>
      <c r="AI160" s="158"/>
      <c r="AJ160" s="158"/>
      <c r="AK160" s="158">
        <v>14</v>
      </c>
      <c r="AL160" s="158" t="s">
        <v>215</v>
      </c>
      <c r="AM160" s="158"/>
    </row>
    <row r="161" spans="24:39" ht="12.75" hidden="1">
      <c r="X161" s="158"/>
      <c r="Y161" s="158"/>
      <c r="Z161" s="158"/>
      <c r="AA161" s="158"/>
      <c r="AB161" s="158"/>
      <c r="AC161" s="158"/>
      <c r="AD161" s="158"/>
      <c r="AE161" s="158"/>
      <c r="AF161" s="158"/>
      <c r="AG161" s="158"/>
      <c r="AH161" s="158"/>
      <c r="AI161" s="158"/>
      <c r="AJ161" s="158"/>
      <c r="AK161" s="158">
        <v>15</v>
      </c>
      <c r="AL161" s="158" t="s">
        <v>216</v>
      </c>
      <c r="AM161" s="158"/>
    </row>
    <row r="162" spans="24:39" ht="12.75" hidden="1">
      <c r="X162" s="158"/>
      <c r="Y162" s="158"/>
      <c r="Z162" s="158"/>
      <c r="AA162" s="158"/>
      <c r="AB162" s="158"/>
      <c r="AC162" s="158"/>
      <c r="AD162" s="158"/>
      <c r="AE162" s="158"/>
      <c r="AF162" s="158"/>
      <c r="AG162" s="158"/>
      <c r="AH162" s="158"/>
      <c r="AI162" s="158"/>
      <c r="AJ162" s="158"/>
      <c r="AK162" s="158">
        <v>16</v>
      </c>
      <c r="AL162" s="158" t="s">
        <v>217</v>
      </c>
      <c r="AM162" s="158"/>
    </row>
    <row r="163" spans="24:39" ht="12.75" hidden="1">
      <c r="X163" s="158"/>
      <c r="Y163" s="158"/>
      <c r="Z163" s="158"/>
      <c r="AA163" s="158"/>
      <c r="AB163" s="158"/>
      <c r="AC163" s="158"/>
      <c r="AD163" s="158"/>
      <c r="AE163" s="158"/>
      <c r="AF163" s="158"/>
      <c r="AG163" s="158"/>
      <c r="AH163" s="158"/>
      <c r="AI163" s="158"/>
      <c r="AJ163" s="158"/>
      <c r="AK163" s="158">
        <v>17</v>
      </c>
      <c r="AL163" s="158" t="s">
        <v>218</v>
      </c>
      <c r="AM163" s="158"/>
    </row>
    <row r="164" spans="24:39" ht="12.75" hidden="1">
      <c r="X164" s="158"/>
      <c r="Y164" s="158"/>
      <c r="Z164" s="158"/>
      <c r="AA164" s="158"/>
      <c r="AB164" s="158"/>
      <c r="AC164" s="158"/>
      <c r="AD164" s="158"/>
      <c r="AE164" s="158"/>
      <c r="AF164" s="158"/>
      <c r="AG164" s="158"/>
      <c r="AH164" s="158"/>
      <c r="AI164" s="158"/>
      <c r="AJ164" s="158"/>
      <c r="AK164" s="158">
        <v>18</v>
      </c>
      <c r="AL164" s="158" t="s">
        <v>219</v>
      </c>
      <c r="AM164" s="158"/>
    </row>
    <row r="165" spans="24:39" ht="12.75" hidden="1">
      <c r="X165" s="158"/>
      <c r="Y165" s="158"/>
      <c r="Z165" s="158"/>
      <c r="AA165" s="158"/>
      <c r="AB165" s="158"/>
      <c r="AC165" s="158"/>
      <c r="AD165" s="158"/>
      <c r="AE165" s="158"/>
      <c r="AF165" s="158"/>
      <c r="AG165" s="158"/>
      <c r="AH165" s="158"/>
      <c r="AI165" s="158"/>
      <c r="AJ165" s="158"/>
      <c r="AK165" s="158">
        <v>19</v>
      </c>
      <c r="AL165" s="158" t="s">
        <v>220</v>
      </c>
      <c r="AM165" s="158"/>
    </row>
    <row r="166" spans="24:39" ht="12.75" hidden="1">
      <c r="X166" s="158"/>
      <c r="Y166" s="158"/>
      <c r="Z166" s="158"/>
      <c r="AA166" s="158"/>
      <c r="AB166" s="158"/>
      <c r="AC166" s="158"/>
      <c r="AD166" s="158"/>
      <c r="AE166" s="158"/>
      <c r="AF166" s="158"/>
      <c r="AG166" s="158"/>
      <c r="AH166" s="158"/>
      <c r="AI166" s="158"/>
      <c r="AJ166" s="158"/>
      <c r="AK166" s="158">
        <v>20</v>
      </c>
      <c r="AL166" s="158" t="s">
        <v>196</v>
      </c>
      <c r="AM166" s="158"/>
    </row>
    <row r="167" spans="24:39" ht="12.75" hidden="1">
      <c r="X167" s="158"/>
      <c r="Y167" s="158"/>
      <c r="Z167" s="158"/>
      <c r="AA167" s="158"/>
      <c r="AB167" s="158"/>
      <c r="AC167" s="158"/>
      <c r="AD167" s="158"/>
      <c r="AE167" s="158"/>
      <c r="AF167" s="158"/>
      <c r="AG167" s="158"/>
      <c r="AH167" s="158"/>
      <c r="AI167" s="158"/>
      <c r="AJ167" s="158"/>
      <c r="AK167" s="158">
        <v>30</v>
      </c>
      <c r="AL167" s="158" t="s">
        <v>198</v>
      </c>
      <c r="AM167" s="158"/>
    </row>
    <row r="168" spans="24:39" ht="12.75" hidden="1">
      <c r="X168" s="158"/>
      <c r="Y168" s="158"/>
      <c r="Z168" s="158"/>
      <c r="AA168" s="158"/>
      <c r="AB168" s="158"/>
      <c r="AC168" s="158"/>
      <c r="AD168" s="158"/>
      <c r="AE168" s="158"/>
      <c r="AF168" s="158"/>
      <c r="AG168" s="158"/>
      <c r="AH168" s="158"/>
      <c r="AI168" s="158"/>
      <c r="AJ168" s="158"/>
      <c r="AK168" s="158">
        <v>40</v>
      </c>
      <c r="AL168" s="158" t="s">
        <v>200</v>
      </c>
      <c r="AM168" s="158"/>
    </row>
    <row r="169" spans="24:39" ht="12.75" hidden="1">
      <c r="X169" s="158"/>
      <c r="Y169" s="158"/>
      <c r="Z169" s="158"/>
      <c r="AA169" s="158"/>
      <c r="AB169" s="158"/>
      <c r="AC169" s="158"/>
      <c r="AD169" s="158"/>
      <c r="AE169" s="158"/>
      <c r="AF169" s="158"/>
      <c r="AG169" s="158"/>
      <c r="AH169" s="158"/>
      <c r="AI169" s="158"/>
      <c r="AJ169" s="158"/>
      <c r="AK169" s="158">
        <v>50</v>
      </c>
      <c r="AL169" s="158" t="s">
        <v>202</v>
      </c>
      <c r="AM169" s="158"/>
    </row>
    <row r="170" spans="24:39" ht="12.75" hidden="1">
      <c r="X170" s="158"/>
      <c r="Y170" s="158"/>
      <c r="Z170" s="158"/>
      <c r="AA170" s="158"/>
      <c r="AB170" s="158"/>
      <c r="AC170" s="158"/>
      <c r="AD170" s="158"/>
      <c r="AE170" s="158"/>
      <c r="AF170" s="158"/>
      <c r="AG170" s="158"/>
      <c r="AH170" s="158"/>
      <c r="AI170" s="158"/>
      <c r="AJ170" s="158"/>
      <c r="AK170" s="158">
        <v>60</v>
      </c>
      <c r="AL170" s="158" t="s">
        <v>204</v>
      </c>
      <c r="AM170" s="158"/>
    </row>
    <row r="171" spans="24:39" ht="12.75" hidden="1">
      <c r="X171" s="158"/>
      <c r="Y171" s="158"/>
      <c r="Z171" s="158"/>
      <c r="AA171" s="158"/>
      <c r="AB171" s="158"/>
      <c r="AC171" s="158"/>
      <c r="AD171" s="158"/>
      <c r="AE171" s="158"/>
      <c r="AF171" s="158"/>
      <c r="AG171" s="158"/>
      <c r="AH171" s="158"/>
      <c r="AI171" s="158"/>
      <c r="AJ171" s="158"/>
      <c r="AK171" s="158">
        <v>70</v>
      </c>
      <c r="AL171" s="158" t="s">
        <v>206</v>
      </c>
      <c r="AM171" s="158"/>
    </row>
    <row r="172" spans="24:39" ht="12.75" hidden="1">
      <c r="X172" s="158"/>
      <c r="Y172" s="158"/>
      <c r="Z172" s="158"/>
      <c r="AA172" s="158"/>
      <c r="AB172" s="158"/>
      <c r="AC172" s="158"/>
      <c r="AD172" s="158"/>
      <c r="AE172" s="158"/>
      <c r="AF172" s="158"/>
      <c r="AG172" s="158"/>
      <c r="AH172" s="158"/>
      <c r="AI172" s="158"/>
      <c r="AJ172" s="158"/>
      <c r="AK172" s="158">
        <v>80</v>
      </c>
      <c r="AL172" s="158" t="s">
        <v>208</v>
      </c>
      <c r="AM172" s="158"/>
    </row>
    <row r="173" spans="24:39" ht="12.75" hidden="1">
      <c r="X173" s="158"/>
      <c r="Y173" s="158"/>
      <c r="Z173" s="158"/>
      <c r="AA173" s="158"/>
      <c r="AB173" s="158"/>
      <c r="AC173" s="158"/>
      <c r="AD173" s="158"/>
      <c r="AE173" s="158"/>
      <c r="AF173" s="158"/>
      <c r="AG173" s="158"/>
      <c r="AH173" s="158"/>
      <c r="AI173" s="158"/>
      <c r="AJ173" s="158"/>
      <c r="AK173" s="158">
        <v>90</v>
      </c>
      <c r="AL173" s="158" t="s">
        <v>210</v>
      </c>
      <c r="AM173" s="158"/>
    </row>
    <row r="174" ht="12.75" hidden="1">
      <c r="AJ174" s="88"/>
    </row>
    <row r="175" ht="12.75" hidden="1">
      <c r="AJ175" s="88"/>
    </row>
    <row r="176" spans="24:39" ht="12.75" hidden="1">
      <c r="X176" s="159">
        <f>'[2]pf'!F32</f>
        <v>0</v>
      </c>
      <c r="Y176" s="158">
        <f>(X176-X179)/1000</f>
        <v>0</v>
      </c>
      <c r="Z176" s="158"/>
      <c r="AA176" s="158"/>
      <c r="AB176" s="158"/>
      <c r="AC176" s="158"/>
      <c r="AD176" s="158"/>
      <c r="AE176" s="158"/>
      <c r="AF176" s="158"/>
      <c r="AG176" s="158"/>
      <c r="AH176" s="158"/>
      <c r="AI176" s="158"/>
      <c r="AJ176" s="158"/>
      <c r="AK176" s="158">
        <v>1</v>
      </c>
      <c r="AL176" s="158" t="s">
        <v>194</v>
      </c>
      <c r="AM176" s="158"/>
    </row>
    <row r="177" spans="24:39" ht="12.75" hidden="1">
      <c r="X177" s="158">
        <f>(Y176-X178)/100</f>
        <v>0</v>
      </c>
      <c r="Y177" s="158">
        <f>X177</f>
        <v>0</v>
      </c>
      <c r="Z177" s="158">
        <f>RIGHT(Y177,2)*1</f>
        <v>0</v>
      </c>
      <c r="AA177" s="158">
        <f>(Y177-Z177)/100</f>
        <v>0</v>
      </c>
      <c r="AB177" s="158">
        <f>(Z177-RIGHT(Z177,1)*1)/10</f>
        <v>0</v>
      </c>
      <c r="AC177" s="158">
        <f>RIGHT(Y177,1)*1</f>
        <v>0</v>
      </c>
      <c r="AD177" s="158" t="str">
        <f>IF(AB177=AK177,AM177,IF(AB177=AK178,AM178,IF(AB177=AK179,AM179,IF(AB177=AK180,AM180,IF(AB177=AK181,AM181,IF(AB177=AK182,AM182,IF(AB177=AK183,AM183,IF(AB177=AK184,AM184," "))))))))</f>
        <v> </v>
      </c>
      <c r="AE177" s="158" t="str">
        <f>IF(AB177=1," ",IF(AC177=AK176,AL176,IF(AC177=AK177,AL177,IF(AC177=AK178,AL178,IF(AC177=AK179,AL179,IF(AC177=AK180,AL180,IF(AC177=AK181,AL181," ")))))))</f>
        <v> </v>
      </c>
      <c r="AF177" s="158" t="str">
        <f>IF(AB177=1," ",IF(AC177=AK182,AL182,IF(AC177=AK183,AL183,IF(AC177=AK184,AL184," "))))</f>
        <v> </v>
      </c>
      <c r="AG177" s="158" t="str">
        <f>IF(AB177=0," ",IF(AB177&gt;1," ",IF(AC177=AK177,AL187,IF(AC177=AK178,AL188,IF(AC177=AK179,AL189,IF(AC177=AK180,AL190,IF(AC177=AK181,AL191,IF(AC177=AK182,AL192," "))))))))</f>
        <v> </v>
      </c>
      <c r="AH177" s="158" t="str">
        <f>IF(AB177=0," ",IF(AB177&gt;1," ",IF(AC177=AK183,AL193,IF(AC177=AK184,AL194,IF(AC177=AK176,AL186,IF(AC177=0,AL185," "))))))</f>
        <v> </v>
      </c>
      <c r="AI177" s="158" t="str">
        <f>IF(AB177=0," ","lakh")</f>
        <v> </v>
      </c>
      <c r="AJ177" s="158" t="str">
        <f>IF(AC177=0," ",IF(AB177&gt;0," ","lakh"))</f>
        <v> </v>
      </c>
      <c r="AK177" s="158">
        <v>2</v>
      </c>
      <c r="AL177" s="158" t="s">
        <v>195</v>
      </c>
      <c r="AM177" s="158" t="s">
        <v>196</v>
      </c>
    </row>
    <row r="178" spans="24:39" ht="12.75" hidden="1">
      <c r="X178" s="158">
        <f>RIGHT(Y176,2)*1</f>
        <v>0</v>
      </c>
      <c r="Y178" s="158">
        <f>X178</f>
        <v>0</v>
      </c>
      <c r="Z178" s="158">
        <f>RIGHT(Y178,2)*1</f>
        <v>0</v>
      </c>
      <c r="AA178" s="158">
        <f>(Y178-Z178)/100</f>
        <v>0</v>
      </c>
      <c r="AB178" s="158">
        <f>(Z178-RIGHT(Z178,1)*1)/10</f>
        <v>0</v>
      </c>
      <c r="AC178" s="158">
        <f>RIGHT(Y178,1)*1</f>
        <v>0</v>
      </c>
      <c r="AD178" s="158" t="str">
        <f>IF(AB178=AK177,AM177,IF(AB178=AK178,AM178,IF(AB178=AK179,AM179,IF(AB178=AK180,AM180,IF(AB178=AK181,AM181,IF(AB178=AK182,AM182,IF(AB178=AK183,AM183,IF(AB178=AK184,AM184," "))))))))</f>
        <v> </v>
      </c>
      <c r="AE178" s="158" t="str">
        <f>IF(AB178=1," ",IF(AC178=AK176,AL176,IF(AC178=AK177,AL177,IF(AC178=AK178,AL178,IF(AC178=AK179,AL179,IF(AC178=AK180,AL180,IF(AC178=AK181,AL181," ")))))))</f>
        <v> </v>
      </c>
      <c r="AF178" s="158" t="str">
        <f>IF(AB178=1," ",IF(AC178=AK182,AL182,IF(AC178=AK183,AL183,IF(AC178=AK184,AL184," "))))</f>
        <v> </v>
      </c>
      <c r="AG178" s="158" t="str">
        <f>IF(AB178=0," ",IF(AB178&gt;1," ",IF(AC178=AK177,AL187,IF(AC178=AK178,AL188,IF(AC178=AK179,AL189,IF(AC178=AK180,AL190,IF(AC178=AK181,AL191,IF(AC178=AK182,AL192," "))))))))</f>
        <v> </v>
      </c>
      <c r="AH178" s="158" t="str">
        <f>IF(AB178=0," ",IF(AB178&gt;1," ",IF(AC178=AK183,AL193,IF(AC178=AK184,AL194,IF(AC178=AK176,AL186,IF(AC178=0,AL185," "))))))</f>
        <v> </v>
      </c>
      <c r="AI178" s="158" t="str">
        <f>IF(AB178=0," ","thousand")</f>
        <v> </v>
      </c>
      <c r="AJ178" s="158" t="str">
        <f>IF(AC178=0," ",IF(AB178&gt;0," ","thousand"))</f>
        <v> </v>
      </c>
      <c r="AK178" s="158">
        <v>3</v>
      </c>
      <c r="AL178" s="158" t="s">
        <v>197</v>
      </c>
      <c r="AM178" s="158" t="s">
        <v>198</v>
      </c>
    </row>
    <row r="179" spans="24:39" ht="12.75" hidden="1">
      <c r="X179" s="158">
        <f>RIGHT(X176,3)*1</f>
        <v>0</v>
      </c>
      <c r="Y179" s="158">
        <f>X179</f>
        <v>0</v>
      </c>
      <c r="Z179" s="158">
        <f>ROUND((Y179-AA180)/100,0)</f>
        <v>0</v>
      </c>
      <c r="AA179" s="158"/>
      <c r="AB179" s="158"/>
      <c r="AC179" s="158"/>
      <c r="AD179" s="158"/>
      <c r="AE179" s="158" t="str">
        <f>IF(Z179=0," ",IF(Z179=AK176,AL176,IF(Z179=AK177,AL177,IF(Z179=AK178,AL178,IF(Z179=AK179,AL179,IF(Z179=AK180,AL180,IF(Z179=AK181,AL181," ")))))))</f>
        <v> </v>
      </c>
      <c r="AF179" s="158" t="str">
        <f>IF(Z179=0," ",IF(Z179=AK182,AL182,IF(Z179=AK183,AL183,IF(Z179=AK184,AL184," "))))</f>
        <v> </v>
      </c>
      <c r="AG179" s="158"/>
      <c r="AH179" s="158"/>
      <c r="AI179" s="158" t="str">
        <f>IF(Z179=0," ","hundred")</f>
        <v> </v>
      </c>
      <c r="AJ179" s="158"/>
      <c r="AK179" s="158">
        <v>4</v>
      </c>
      <c r="AL179" s="158" t="s">
        <v>199</v>
      </c>
      <c r="AM179" s="158" t="s">
        <v>200</v>
      </c>
    </row>
    <row r="180" spans="24:39" ht="12.75" hidden="1">
      <c r="X180" s="158"/>
      <c r="Y180" s="158"/>
      <c r="Z180" s="158"/>
      <c r="AA180" s="158">
        <f>RIGHT(Y179,2)*1</f>
        <v>0</v>
      </c>
      <c r="AB180" s="158">
        <f>(AA180-RIGHT(AA180,1)*1)/10</f>
        <v>0</v>
      </c>
      <c r="AC180" s="158">
        <f>RIGHT(Y179,1)*1</f>
        <v>0</v>
      </c>
      <c r="AD180" s="158" t="str">
        <f>IF(AB180=AK177,AM177,IF(AB180=AK178,AM178,IF(AB180=AK179,AM179,IF(AB180=AK180,AM180,IF(AB180=AK181,AM181,IF(AB180=AK182,AM182,IF(AB180=AK183,AM183,IF(AB180=AK184,AM184," "))))))))</f>
        <v> </v>
      </c>
      <c r="AE180" s="158" t="str">
        <f>IF(AB180=1," ",IF(AC180=AK176,AL176,IF(AC180=AK177,AL177,IF(AC180=AK178,AL178,IF(AC180=AK179,AL179,IF(AC180=AK180,AL180,IF(AC180=AK181,AL181," ")))))))</f>
        <v> </v>
      </c>
      <c r="AF180" s="158" t="str">
        <f>IF(AB180=1," ",IF(AC180=AK182,AL182,IF(AC180=AK183,AL183,IF(AC180=AK184,AL184," "))))</f>
        <v> </v>
      </c>
      <c r="AG180" s="158" t="str">
        <f>IF(AB180=0," ",IF(AB180&gt;1," ",IF(AC180=AK177,AL187,IF(AC180=AK178,AL188,IF(AC180=AK179,AL189,IF(AC180=AK180,AL190,IF(AC180=AL191,AL181,IF(AC180=AK182,AL192," "))))))))</f>
        <v> </v>
      </c>
      <c r="AH180" s="158" t="str">
        <f>IF(AB180=0," ",IF(AB180&gt;1," ",IF(AC180=AK183,AL193,IF(AC180=AK184,AL194,IF(AC180=AK176,AL186,IF(AC180=0,AL185," "))))))</f>
        <v> </v>
      </c>
      <c r="AI180" s="158"/>
      <c r="AJ180" s="158"/>
      <c r="AK180" s="158">
        <v>5</v>
      </c>
      <c r="AL180" s="158" t="s">
        <v>201</v>
      </c>
      <c r="AM180" s="158" t="s">
        <v>202</v>
      </c>
    </row>
    <row r="181" spans="24:39" ht="12.75" hidden="1">
      <c r="X181" s="158"/>
      <c r="Y181" s="158"/>
      <c r="Z181" s="158"/>
      <c r="AA181" s="158"/>
      <c r="AB181" s="158">
        <f>AB180</f>
        <v>0</v>
      </c>
      <c r="AC181" s="158">
        <f>AC180</f>
        <v>0</v>
      </c>
      <c r="AD181" s="158"/>
      <c r="AE181" s="158"/>
      <c r="AF181" s="158"/>
      <c r="AG181" s="158"/>
      <c r="AH181" s="158"/>
      <c r="AI181" s="158"/>
      <c r="AJ181" s="158"/>
      <c r="AK181" s="158">
        <v>6</v>
      </c>
      <c r="AL181" s="158" t="s">
        <v>203</v>
      </c>
      <c r="AM181" s="158" t="s">
        <v>204</v>
      </c>
    </row>
    <row r="182" spans="24:39" ht="12.75" hidden="1">
      <c r="X182" s="158"/>
      <c r="Y182" s="158"/>
      <c r="Z182" s="158"/>
      <c r="AA182" s="158"/>
      <c r="AB182" s="158"/>
      <c r="AC182" s="158"/>
      <c r="AD182" s="158"/>
      <c r="AE182" s="158"/>
      <c r="AF182" s="158"/>
      <c r="AG182" s="158"/>
      <c r="AH182" s="158"/>
      <c r="AI182" s="158"/>
      <c r="AJ182" s="158"/>
      <c r="AK182" s="158">
        <v>7</v>
      </c>
      <c r="AL182" s="158" t="s">
        <v>205</v>
      </c>
      <c r="AM182" s="158" t="s">
        <v>206</v>
      </c>
    </row>
    <row r="183" spans="24:39" ht="12.75" hidden="1">
      <c r="X183" s="158"/>
      <c r="Y183" s="158"/>
      <c r="Z183" s="158"/>
      <c r="AA183" s="158"/>
      <c r="AB183" s="158"/>
      <c r="AC183" s="158"/>
      <c r="AD183" s="158"/>
      <c r="AE183" s="158"/>
      <c r="AF183" s="158"/>
      <c r="AG183" s="158"/>
      <c r="AH183" s="158"/>
      <c r="AI183" s="158"/>
      <c r="AJ183" s="158"/>
      <c r="AK183" s="158">
        <v>8</v>
      </c>
      <c r="AL183" s="158" t="s">
        <v>207</v>
      </c>
      <c r="AM183" s="158" t="s">
        <v>208</v>
      </c>
    </row>
    <row r="184" spans="24:39" ht="12.75" hidden="1">
      <c r="X184" s="158">
        <f>TRIM(AD177&amp;" "&amp;AE177&amp;" "&amp;AF177&amp;" "&amp;AG177&amp;" "&amp;AH177&amp;" "&amp;AI177&amp;" "&amp;AJ177)</f>
      </c>
      <c r="Y184" s="158"/>
      <c r="Z184" s="158"/>
      <c r="AA184" s="158"/>
      <c r="AB184" s="158"/>
      <c r="AC184" s="158"/>
      <c r="AD184" s="158"/>
      <c r="AE184" s="158"/>
      <c r="AF184" s="158"/>
      <c r="AG184" s="158"/>
      <c r="AH184" s="158"/>
      <c r="AI184" s="158"/>
      <c r="AJ184" s="158"/>
      <c r="AK184" s="158">
        <v>9</v>
      </c>
      <c r="AL184" s="158" t="s">
        <v>209</v>
      </c>
      <c r="AM184" s="158" t="s">
        <v>210</v>
      </c>
    </row>
    <row r="185" spans="24:39" ht="12.75" hidden="1">
      <c r="X185" s="158">
        <f>TRIM(AD178&amp;" "&amp;AE178&amp;" "&amp;AF178&amp;" "&amp;AG178&amp;" "&amp;AH178&amp;" "&amp;AI178&amp;" "&amp;AJ178)</f>
      </c>
      <c r="Y185" s="158"/>
      <c r="Z185" s="158"/>
      <c r="AA185" s="158"/>
      <c r="AB185" s="158"/>
      <c r="AC185" s="158"/>
      <c r="AD185" s="158"/>
      <c r="AE185" s="158"/>
      <c r="AF185" s="158"/>
      <c r="AG185" s="158"/>
      <c r="AH185" s="158"/>
      <c r="AI185" s="158"/>
      <c r="AJ185" s="158"/>
      <c r="AK185" s="158">
        <v>10</v>
      </c>
      <c r="AL185" s="158" t="s">
        <v>211</v>
      </c>
      <c r="AM185" s="158"/>
    </row>
    <row r="186" spans="24:39" ht="12.75" hidden="1">
      <c r="X186" s="158">
        <f>TRIM(AD179&amp;" "&amp;AE179&amp;" "&amp;AF179&amp;" "&amp;AG179&amp;" "&amp;AH179&amp;" "&amp;AI179&amp;" "&amp;AJ179)</f>
      </c>
      <c r="Y186" s="158"/>
      <c r="Z186" s="158"/>
      <c r="AA186" s="158"/>
      <c r="AB186" s="158"/>
      <c r="AC186" s="158"/>
      <c r="AD186" s="158"/>
      <c r="AE186" s="158"/>
      <c r="AF186" s="158"/>
      <c r="AG186" s="158"/>
      <c r="AH186" s="158"/>
      <c r="AI186" s="158"/>
      <c r="AJ186" s="158"/>
      <c r="AK186" s="158">
        <v>11</v>
      </c>
      <c r="AL186" s="158" t="s">
        <v>212</v>
      </c>
      <c r="AM186" s="158"/>
    </row>
    <row r="187" spans="24:39" ht="12.75" hidden="1">
      <c r="X187" s="158">
        <f>TRIM(AD180&amp;" "&amp;AE180&amp;" "&amp;AF180&amp;" "&amp;AG180&amp;" "&amp;AH180)</f>
      </c>
      <c r="Y187" s="158"/>
      <c r="Z187" s="158"/>
      <c r="AA187" s="158"/>
      <c r="AB187" s="158"/>
      <c r="AC187" s="158"/>
      <c r="AD187" s="158"/>
      <c r="AE187" s="158"/>
      <c r="AF187" s="158"/>
      <c r="AG187" s="158"/>
      <c r="AH187" s="158"/>
      <c r="AI187" s="158"/>
      <c r="AJ187" s="158"/>
      <c r="AK187" s="158">
        <v>12</v>
      </c>
      <c r="AL187" s="158" t="s">
        <v>213</v>
      </c>
      <c r="AM187" s="158"/>
    </row>
    <row r="188" spans="24:39" ht="12.75" hidden="1">
      <c r="X188" s="158" t="str">
        <f>TRIM(X184&amp;" "&amp;X185&amp;" "&amp;X186&amp;" "&amp;X187)&amp;" only"</f>
        <v> only</v>
      </c>
      <c r="Y188" s="158"/>
      <c r="Z188" s="158"/>
      <c r="AA188" s="158"/>
      <c r="AB188" s="158"/>
      <c r="AC188" s="158"/>
      <c r="AD188" s="158"/>
      <c r="AE188" s="158"/>
      <c r="AF188" s="158"/>
      <c r="AG188" s="158"/>
      <c r="AH188" s="158"/>
      <c r="AI188" s="158"/>
      <c r="AJ188" s="158"/>
      <c r="AK188" s="158">
        <v>13</v>
      </c>
      <c r="AL188" s="158" t="s">
        <v>214</v>
      </c>
      <c r="AM188" s="158"/>
    </row>
    <row r="189" spans="24:39" ht="12.75" hidden="1">
      <c r="X189" s="158"/>
      <c r="Y189" s="158"/>
      <c r="Z189" s="158"/>
      <c r="AA189" s="158"/>
      <c r="AB189" s="158"/>
      <c r="AC189" s="158"/>
      <c r="AD189" s="158"/>
      <c r="AE189" s="158"/>
      <c r="AF189" s="158"/>
      <c r="AG189" s="158"/>
      <c r="AH189" s="158"/>
      <c r="AI189" s="158"/>
      <c r="AJ189" s="158"/>
      <c r="AK189" s="158">
        <v>14</v>
      </c>
      <c r="AL189" s="158" t="s">
        <v>215</v>
      </c>
      <c r="AM189" s="158"/>
    </row>
    <row r="190" spans="24:39" ht="12.75" hidden="1">
      <c r="X190" s="158"/>
      <c r="Y190" s="158"/>
      <c r="Z190" s="158"/>
      <c r="AA190" s="158"/>
      <c r="AB190" s="158"/>
      <c r="AC190" s="158"/>
      <c r="AD190" s="158"/>
      <c r="AE190" s="158"/>
      <c r="AF190" s="158"/>
      <c r="AG190" s="158"/>
      <c r="AH190" s="158"/>
      <c r="AI190" s="158"/>
      <c r="AJ190" s="158"/>
      <c r="AK190" s="158">
        <v>15</v>
      </c>
      <c r="AL190" s="158" t="s">
        <v>216</v>
      </c>
      <c r="AM190" s="158"/>
    </row>
    <row r="191" spans="24:39" ht="12.75" hidden="1">
      <c r="X191" s="158"/>
      <c r="Y191" s="158"/>
      <c r="Z191" s="158"/>
      <c r="AA191" s="158"/>
      <c r="AB191" s="158"/>
      <c r="AC191" s="158"/>
      <c r="AD191" s="158"/>
      <c r="AE191" s="158"/>
      <c r="AF191" s="158"/>
      <c r="AG191" s="158"/>
      <c r="AH191" s="158"/>
      <c r="AI191" s="158"/>
      <c r="AJ191" s="158"/>
      <c r="AK191" s="158">
        <v>16</v>
      </c>
      <c r="AL191" s="158" t="s">
        <v>217</v>
      </c>
      <c r="AM191" s="158"/>
    </row>
    <row r="192" spans="24:39" ht="12.75" hidden="1">
      <c r="X192" s="158"/>
      <c r="Y192" s="158"/>
      <c r="Z192" s="158"/>
      <c r="AA192" s="158"/>
      <c r="AB192" s="158"/>
      <c r="AC192" s="158"/>
      <c r="AD192" s="158"/>
      <c r="AE192" s="158"/>
      <c r="AF192" s="158"/>
      <c r="AG192" s="158"/>
      <c r="AH192" s="158"/>
      <c r="AI192" s="158"/>
      <c r="AJ192" s="158"/>
      <c r="AK192" s="158">
        <v>17</v>
      </c>
      <c r="AL192" s="158" t="s">
        <v>218</v>
      </c>
      <c r="AM192" s="158"/>
    </row>
    <row r="193" spans="24:39" ht="12.75" hidden="1">
      <c r="X193" s="158"/>
      <c r="Y193" s="158"/>
      <c r="Z193" s="158"/>
      <c r="AA193" s="158"/>
      <c r="AB193" s="158"/>
      <c r="AC193" s="158"/>
      <c r="AD193" s="158"/>
      <c r="AE193" s="158"/>
      <c r="AF193" s="158"/>
      <c r="AG193" s="158"/>
      <c r="AH193" s="158"/>
      <c r="AI193" s="158"/>
      <c r="AJ193" s="158"/>
      <c r="AK193" s="158">
        <v>18</v>
      </c>
      <c r="AL193" s="158" t="s">
        <v>219</v>
      </c>
      <c r="AM193" s="158"/>
    </row>
    <row r="194" spans="24:39" ht="12.75" hidden="1">
      <c r="X194" s="158"/>
      <c r="Y194" s="158"/>
      <c r="Z194" s="158"/>
      <c r="AA194" s="158"/>
      <c r="AB194" s="158"/>
      <c r="AC194" s="158"/>
      <c r="AD194" s="158"/>
      <c r="AE194" s="158"/>
      <c r="AF194" s="158"/>
      <c r="AG194" s="158"/>
      <c r="AH194" s="158"/>
      <c r="AI194" s="158"/>
      <c r="AJ194" s="158"/>
      <c r="AK194" s="158">
        <v>19</v>
      </c>
      <c r="AL194" s="158" t="s">
        <v>220</v>
      </c>
      <c r="AM194" s="158"/>
    </row>
    <row r="195" spans="24:39" ht="12.75" hidden="1">
      <c r="X195" s="158"/>
      <c r="Y195" s="158"/>
      <c r="Z195" s="158"/>
      <c r="AA195" s="158"/>
      <c r="AB195" s="158"/>
      <c r="AC195" s="158"/>
      <c r="AD195" s="158"/>
      <c r="AE195" s="158"/>
      <c r="AF195" s="158"/>
      <c r="AG195" s="158"/>
      <c r="AH195" s="158"/>
      <c r="AI195" s="158"/>
      <c r="AJ195" s="158"/>
      <c r="AK195" s="158">
        <v>20</v>
      </c>
      <c r="AL195" s="158" t="s">
        <v>196</v>
      </c>
      <c r="AM195" s="158"/>
    </row>
    <row r="196" spans="24:39" ht="12.75" hidden="1">
      <c r="X196" s="158"/>
      <c r="Y196" s="158"/>
      <c r="Z196" s="158"/>
      <c r="AA196" s="158"/>
      <c r="AB196" s="158"/>
      <c r="AC196" s="158"/>
      <c r="AD196" s="158"/>
      <c r="AE196" s="158"/>
      <c r="AF196" s="158"/>
      <c r="AG196" s="158"/>
      <c r="AH196" s="158"/>
      <c r="AI196" s="158"/>
      <c r="AJ196" s="158"/>
      <c r="AK196" s="158">
        <v>30</v>
      </c>
      <c r="AL196" s="158" t="s">
        <v>198</v>
      </c>
      <c r="AM196" s="158"/>
    </row>
    <row r="197" spans="24:39" ht="12.75" hidden="1">
      <c r="X197" s="158"/>
      <c r="Y197" s="158"/>
      <c r="Z197" s="158"/>
      <c r="AA197" s="158"/>
      <c r="AB197" s="158"/>
      <c r="AC197" s="158"/>
      <c r="AD197" s="158"/>
      <c r="AE197" s="158"/>
      <c r="AF197" s="158"/>
      <c r="AG197" s="158"/>
      <c r="AH197" s="158"/>
      <c r="AI197" s="158"/>
      <c r="AJ197" s="158"/>
      <c r="AK197" s="158">
        <v>40</v>
      </c>
      <c r="AL197" s="158" t="s">
        <v>200</v>
      </c>
      <c r="AM197" s="158"/>
    </row>
    <row r="198" spans="24:39" ht="12.75" hidden="1">
      <c r="X198" s="158"/>
      <c r="Y198" s="158"/>
      <c r="Z198" s="158"/>
      <c r="AA198" s="158"/>
      <c r="AB198" s="158"/>
      <c r="AC198" s="158"/>
      <c r="AD198" s="158"/>
      <c r="AE198" s="158"/>
      <c r="AF198" s="158"/>
      <c r="AG198" s="158"/>
      <c r="AH198" s="158"/>
      <c r="AI198" s="158"/>
      <c r="AJ198" s="158"/>
      <c r="AK198" s="158">
        <v>50</v>
      </c>
      <c r="AL198" s="158" t="s">
        <v>202</v>
      </c>
      <c r="AM198" s="158"/>
    </row>
    <row r="199" spans="24:39" ht="12.75" hidden="1">
      <c r="X199" s="158"/>
      <c r="Y199" s="158"/>
      <c r="Z199" s="158"/>
      <c r="AA199" s="158"/>
      <c r="AB199" s="158"/>
      <c r="AC199" s="158"/>
      <c r="AD199" s="158"/>
      <c r="AE199" s="158"/>
      <c r="AF199" s="158"/>
      <c r="AG199" s="158"/>
      <c r="AH199" s="158"/>
      <c r="AI199" s="158"/>
      <c r="AJ199" s="158"/>
      <c r="AK199" s="158">
        <v>60</v>
      </c>
      <c r="AL199" s="158" t="s">
        <v>204</v>
      </c>
      <c r="AM199" s="158"/>
    </row>
    <row r="200" spans="24:39" ht="12.75" hidden="1">
      <c r="X200" s="158"/>
      <c r="Y200" s="158"/>
      <c r="Z200" s="158"/>
      <c r="AA200" s="158"/>
      <c r="AB200" s="158"/>
      <c r="AC200" s="158"/>
      <c r="AD200" s="158"/>
      <c r="AE200" s="158"/>
      <c r="AF200" s="158"/>
      <c r="AG200" s="158"/>
      <c r="AH200" s="158"/>
      <c r="AI200" s="158"/>
      <c r="AJ200" s="158"/>
      <c r="AK200" s="158">
        <v>70</v>
      </c>
      <c r="AL200" s="158" t="s">
        <v>206</v>
      </c>
      <c r="AM200" s="158"/>
    </row>
    <row r="201" spans="24:39" ht="12.75" hidden="1">
      <c r="X201" s="158"/>
      <c r="Y201" s="158"/>
      <c r="Z201" s="158"/>
      <c r="AA201" s="158"/>
      <c r="AB201" s="158"/>
      <c r="AC201" s="158"/>
      <c r="AD201" s="158"/>
      <c r="AE201" s="158"/>
      <c r="AF201" s="158"/>
      <c r="AG201" s="158"/>
      <c r="AH201" s="158"/>
      <c r="AI201" s="158"/>
      <c r="AJ201" s="158"/>
      <c r="AK201" s="158">
        <v>80</v>
      </c>
      <c r="AL201" s="158" t="s">
        <v>208</v>
      </c>
      <c r="AM201" s="158"/>
    </row>
    <row r="202" spans="24:39" ht="12.75" hidden="1">
      <c r="X202" s="158"/>
      <c r="Y202" s="158"/>
      <c r="Z202" s="158"/>
      <c r="AA202" s="158"/>
      <c r="AB202" s="158"/>
      <c r="AC202" s="158"/>
      <c r="AD202" s="158"/>
      <c r="AE202" s="158"/>
      <c r="AF202" s="158"/>
      <c r="AG202" s="158"/>
      <c r="AH202" s="158"/>
      <c r="AI202" s="158"/>
      <c r="AJ202" s="158"/>
      <c r="AK202" s="158">
        <v>90</v>
      </c>
      <c r="AL202" s="158" t="s">
        <v>210</v>
      </c>
      <c r="AM202" s="158"/>
    </row>
    <row r="203" ht="12.75" hidden="1">
      <c r="AJ203" s="88"/>
    </row>
    <row r="204" ht="12.75" hidden="1">
      <c r="AJ204" s="88"/>
    </row>
    <row r="205" ht="12.75" hidden="1">
      <c r="AJ205" s="88"/>
    </row>
    <row r="206" ht="12.75" hidden="1">
      <c r="AJ206" s="88"/>
    </row>
    <row r="207" ht="12.75" hidden="1">
      <c r="AJ207" s="88"/>
    </row>
    <row r="208" ht="12.75" hidden="1">
      <c r="AJ208" s="88"/>
    </row>
    <row r="209" ht="12.75" hidden="1">
      <c r="AJ209" s="88"/>
    </row>
    <row r="210" ht="12.75" hidden="1">
      <c r="AJ210" s="88"/>
    </row>
    <row r="211" ht="12.75" hidden="1">
      <c r="AJ211" s="88"/>
    </row>
    <row r="212" ht="12.75" hidden="1">
      <c r="AJ212" s="88"/>
    </row>
    <row r="213" ht="12.75" hidden="1">
      <c r="AJ213" s="88"/>
    </row>
    <row r="214" ht="12.75" hidden="1">
      <c r="AJ214" s="88"/>
    </row>
    <row r="215" ht="12.75" hidden="1">
      <c r="AJ215" s="88"/>
    </row>
    <row r="216" ht="12.75" hidden="1">
      <c r="AJ216" s="88"/>
    </row>
    <row r="217" ht="12.75" hidden="1">
      <c r="AJ217" s="88"/>
    </row>
    <row r="218" ht="12.75" hidden="1">
      <c r="AJ218" s="88"/>
    </row>
    <row r="219" ht="12.75" hidden="1">
      <c r="AJ219" s="88"/>
    </row>
    <row r="220" ht="12.75" hidden="1">
      <c r="AJ220" s="88"/>
    </row>
    <row r="221" ht="12.75" hidden="1">
      <c r="AJ221" s="88"/>
    </row>
    <row r="222" ht="12.75" hidden="1">
      <c r="AJ222" s="88"/>
    </row>
    <row r="223" ht="12.75" hidden="1">
      <c r="AJ223" s="88"/>
    </row>
    <row r="224" ht="12.75" hidden="1">
      <c r="AJ224" s="88"/>
    </row>
    <row r="225" ht="12.75" hidden="1">
      <c r="AJ225" s="88"/>
    </row>
    <row r="226" ht="12.75" hidden="1">
      <c r="AJ226" s="88"/>
    </row>
    <row r="227" ht="12.75" hidden="1">
      <c r="AJ227" s="88"/>
    </row>
    <row r="228" ht="12.75" hidden="1">
      <c r="AJ228" s="88"/>
    </row>
    <row r="229" ht="12.75" hidden="1">
      <c r="AJ229" s="88"/>
    </row>
    <row r="230" ht="12.75" hidden="1">
      <c r="AJ230" s="88"/>
    </row>
    <row r="231" ht="12.75" hidden="1">
      <c r="AJ231" s="88"/>
    </row>
    <row r="232" ht="12.75" hidden="1">
      <c r="AJ232" s="88"/>
    </row>
    <row r="233" ht="12.75" hidden="1">
      <c r="AJ233" s="88"/>
    </row>
    <row r="234" ht="12.75" hidden="1">
      <c r="AJ234" s="88"/>
    </row>
    <row r="235" ht="12.75" hidden="1">
      <c r="AJ235" s="88"/>
    </row>
    <row r="236" ht="12.75" hidden="1">
      <c r="AJ236" s="88"/>
    </row>
    <row r="237" ht="12.75" hidden="1">
      <c r="AJ237" s="88"/>
    </row>
    <row r="238" ht="12.75" hidden="1">
      <c r="AJ238" s="88"/>
    </row>
    <row r="239" ht="12.75" hidden="1">
      <c r="AJ239" s="88"/>
    </row>
    <row r="240" ht="12.75" hidden="1">
      <c r="AJ240" s="88"/>
    </row>
    <row r="241" ht="12.75" hidden="1">
      <c r="AJ241" s="88"/>
    </row>
    <row r="242" ht="12.75" hidden="1">
      <c r="AJ242" s="88"/>
    </row>
    <row r="243" ht="12.75" hidden="1">
      <c r="AJ243" s="88"/>
    </row>
    <row r="244" ht="12.75" hidden="1">
      <c r="AJ244" s="88"/>
    </row>
    <row r="245" ht="12.75">
      <c r="AJ245" s="88"/>
    </row>
    <row r="246" ht="12.75">
      <c r="AJ246" s="88"/>
    </row>
    <row r="247" ht="12.75">
      <c r="AJ247" s="88"/>
    </row>
    <row r="248" ht="12.75">
      <c r="AJ248" s="88"/>
    </row>
    <row r="249" ht="12.75">
      <c r="AJ249" s="88"/>
    </row>
    <row r="250" ht="12.75">
      <c r="AJ250" s="88"/>
    </row>
    <row r="251" ht="12.75">
      <c r="AJ251" s="88"/>
    </row>
    <row r="252" ht="12.75">
      <c r="AJ252" s="88"/>
    </row>
    <row r="253" ht="12.75">
      <c r="AJ253" s="88"/>
    </row>
    <row r="254" ht="12.75">
      <c r="AJ254" s="88"/>
    </row>
    <row r="255" ht="12.75">
      <c r="AJ255" s="88"/>
    </row>
    <row r="256" ht="12.75">
      <c r="AJ256" s="88"/>
    </row>
    <row r="257" ht="12.75">
      <c r="AJ257" s="88"/>
    </row>
    <row r="258" ht="12.75">
      <c r="AJ258" s="88"/>
    </row>
    <row r="259" ht="12.75">
      <c r="AJ259" s="88"/>
    </row>
    <row r="260" ht="12.75">
      <c r="AJ260" s="88"/>
    </row>
    <row r="261" ht="12.75">
      <c r="AJ261" s="88"/>
    </row>
    <row r="262" ht="12.75">
      <c r="AJ262" s="88"/>
    </row>
    <row r="263" ht="12.75">
      <c r="AJ263" s="88"/>
    </row>
    <row r="264" ht="12.75">
      <c r="AJ264" s="88"/>
    </row>
    <row r="265" ht="12.75">
      <c r="AJ265" s="88"/>
    </row>
    <row r="266" ht="12.75">
      <c r="AJ266" s="88"/>
    </row>
    <row r="267" ht="12.75">
      <c r="AJ267" s="88"/>
    </row>
    <row r="268" ht="12.75">
      <c r="AJ268" s="88"/>
    </row>
    <row r="269" ht="12.75">
      <c r="AJ269" s="88"/>
    </row>
    <row r="270" ht="12.75">
      <c r="AJ270" s="88"/>
    </row>
    <row r="271" ht="12.75">
      <c r="AJ271" s="88"/>
    </row>
    <row r="272" ht="12.75">
      <c r="AJ272" s="88"/>
    </row>
    <row r="273" ht="12.75">
      <c r="AJ273" s="88"/>
    </row>
    <row r="274" ht="12.75">
      <c r="AJ274" s="88"/>
    </row>
    <row r="275" ht="12.75">
      <c r="AJ275" s="88"/>
    </row>
    <row r="276" ht="12.75">
      <c r="AJ276" s="88"/>
    </row>
    <row r="277" ht="12.75">
      <c r="AJ277" s="88"/>
    </row>
    <row r="278" ht="12.75">
      <c r="AJ278" s="88"/>
    </row>
    <row r="279" ht="12.75">
      <c r="AJ279" s="88"/>
    </row>
    <row r="280" ht="12.75">
      <c r="AJ280" s="88"/>
    </row>
    <row r="281" ht="12.75">
      <c r="AJ281" s="88"/>
    </row>
    <row r="282" ht="12.75">
      <c r="AJ282" s="88"/>
    </row>
    <row r="283" ht="12.75">
      <c r="AJ283" s="88"/>
    </row>
    <row r="284" ht="12.75">
      <c r="AJ284" s="88"/>
    </row>
    <row r="285" ht="12.75">
      <c r="AJ285" s="88"/>
    </row>
    <row r="286" ht="12.75">
      <c r="AJ286" s="88"/>
    </row>
    <row r="287" ht="12.75">
      <c r="AJ287" s="88"/>
    </row>
    <row r="288" ht="12.75">
      <c r="AJ288" s="88"/>
    </row>
    <row r="289" ht="12.75">
      <c r="AJ289" s="88"/>
    </row>
    <row r="290" ht="12.75">
      <c r="AJ290" s="88"/>
    </row>
    <row r="291" ht="12.75">
      <c r="AJ291" s="88"/>
    </row>
    <row r="292" ht="12.75">
      <c r="AJ292" s="88"/>
    </row>
    <row r="293" ht="12.75">
      <c r="AJ293" s="88"/>
    </row>
    <row r="294" ht="12.75">
      <c r="AJ294" s="88"/>
    </row>
    <row r="295" ht="12.75">
      <c r="AJ295" s="88"/>
    </row>
    <row r="296" ht="12.75">
      <c r="AJ296" s="88"/>
    </row>
    <row r="297" ht="12.75">
      <c r="AJ297" s="88"/>
    </row>
    <row r="298" ht="12.75">
      <c r="AJ298" s="88"/>
    </row>
    <row r="299" ht="12.75">
      <c r="AJ299" s="88"/>
    </row>
    <row r="300" ht="12.75">
      <c r="AJ300" s="88"/>
    </row>
    <row r="301" ht="12.75">
      <c r="AJ301" s="88"/>
    </row>
    <row r="302" ht="12.75">
      <c r="AJ302" s="88"/>
    </row>
    <row r="303" ht="12.75">
      <c r="AJ303" s="88"/>
    </row>
    <row r="304" ht="12.75">
      <c r="AJ304" s="88"/>
    </row>
    <row r="305" ht="12.75">
      <c r="AJ305" s="88"/>
    </row>
    <row r="306" ht="12.75">
      <c r="AJ306" s="88"/>
    </row>
    <row r="307" ht="12.75">
      <c r="AJ307" s="88"/>
    </row>
    <row r="308" ht="12.75">
      <c r="AJ308" s="88"/>
    </row>
    <row r="309" ht="12.75">
      <c r="AJ309" s="88"/>
    </row>
    <row r="310" ht="12.75">
      <c r="AJ310" s="88"/>
    </row>
    <row r="311" ht="12.75">
      <c r="AJ311" s="88"/>
    </row>
    <row r="312" ht="12.75">
      <c r="AJ312" s="88"/>
    </row>
    <row r="313" ht="12.75">
      <c r="AJ313" s="88"/>
    </row>
    <row r="314" ht="12.75">
      <c r="AJ314" s="88"/>
    </row>
    <row r="315" ht="12.75">
      <c r="AJ315" s="88"/>
    </row>
    <row r="316" ht="12.75">
      <c r="AJ316" s="88"/>
    </row>
    <row r="317" ht="12.75">
      <c r="AJ317" s="88"/>
    </row>
    <row r="318" ht="12.75">
      <c r="AJ318" s="88"/>
    </row>
    <row r="319" ht="12.75">
      <c r="AJ319" s="88"/>
    </row>
    <row r="320" ht="12.75">
      <c r="AJ320" s="88"/>
    </row>
    <row r="321" ht="12.75">
      <c r="AJ321" s="88"/>
    </row>
    <row r="322" ht="12.75">
      <c r="AJ322" s="88"/>
    </row>
    <row r="323" ht="12.75">
      <c r="AJ323" s="88"/>
    </row>
    <row r="324" ht="12.75">
      <c r="AJ324" s="88"/>
    </row>
    <row r="325" ht="12.75">
      <c r="AJ325" s="88"/>
    </row>
    <row r="326" ht="12.75">
      <c r="AJ326" s="88"/>
    </row>
    <row r="327" ht="12.75">
      <c r="AJ327" s="88"/>
    </row>
    <row r="328" ht="12.75">
      <c r="AJ328" s="88"/>
    </row>
    <row r="329" ht="12.75">
      <c r="AJ329" s="88"/>
    </row>
    <row r="330" ht="12.75">
      <c r="AJ330" s="88"/>
    </row>
    <row r="331" ht="12.75">
      <c r="AJ331" s="88"/>
    </row>
    <row r="332" ht="12.75">
      <c r="AJ332" s="88"/>
    </row>
    <row r="333" ht="12.75">
      <c r="AJ333" s="88"/>
    </row>
    <row r="334" ht="12.75">
      <c r="AJ334" s="88"/>
    </row>
  </sheetData>
  <sheetProtection password="CF9E" sheet="1" selectLockedCells="1"/>
  <mergeCells count="70">
    <mergeCell ref="B48:P48"/>
    <mergeCell ref="B49:P49"/>
    <mergeCell ref="B50:P50"/>
    <mergeCell ref="B51:P51"/>
    <mergeCell ref="B52:P52"/>
    <mergeCell ref="N58:P58"/>
    <mergeCell ref="H40:K40"/>
    <mergeCell ref="H41:K41"/>
    <mergeCell ref="H42:K42"/>
    <mergeCell ref="B43:G43"/>
    <mergeCell ref="A44:K46"/>
    <mergeCell ref="M46:P46"/>
    <mergeCell ref="H32:K32"/>
    <mergeCell ref="H33:K33"/>
    <mergeCell ref="H34:K34"/>
    <mergeCell ref="H35:K35"/>
    <mergeCell ref="H36:K36"/>
    <mergeCell ref="A37:A42"/>
    <mergeCell ref="C37:F37"/>
    <mergeCell ref="H37:K37"/>
    <mergeCell ref="H38:K38"/>
    <mergeCell ref="H39:K39"/>
    <mergeCell ref="H20:K20"/>
    <mergeCell ref="P20:P21"/>
    <mergeCell ref="H22:L22"/>
    <mergeCell ref="H24:L24"/>
    <mergeCell ref="B27:D27"/>
    <mergeCell ref="B29:C30"/>
    <mergeCell ref="D29:D30"/>
    <mergeCell ref="E29:E30"/>
    <mergeCell ref="F29:F30"/>
    <mergeCell ref="G29:G30"/>
    <mergeCell ref="B18:C18"/>
    <mergeCell ref="H18:L19"/>
    <mergeCell ref="M18:M19"/>
    <mergeCell ref="N18:N19"/>
    <mergeCell ref="O18:O19"/>
    <mergeCell ref="P18:P19"/>
    <mergeCell ref="B16:C16"/>
    <mergeCell ref="H16:L16"/>
    <mergeCell ref="M16:M17"/>
    <mergeCell ref="N16:N17"/>
    <mergeCell ref="O16:O17"/>
    <mergeCell ref="P16:P17"/>
    <mergeCell ref="B12:C12"/>
    <mergeCell ref="D12:K12"/>
    <mergeCell ref="B13:C13"/>
    <mergeCell ref="O13:P13"/>
    <mergeCell ref="B14:C14"/>
    <mergeCell ref="H14:L14"/>
    <mergeCell ref="M14:M15"/>
    <mergeCell ref="N14:N15"/>
    <mergeCell ref="O14:O15"/>
    <mergeCell ref="P14:P15"/>
    <mergeCell ref="O9:P9"/>
    <mergeCell ref="B10:C10"/>
    <mergeCell ref="D10:K10"/>
    <mergeCell ref="O10:P10"/>
    <mergeCell ref="D11:K11"/>
    <mergeCell ref="O11:P11"/>
    <mergeCell ref="A1:Q1"/>
    <mergeCell ref="A2:Q2"/>
    <mergeCell ref="A3:Q3"/>
    <mergeCell ref="G5:K5"/>
    <mergeCell ref="N5:P5"/>
    <mergeCell ref="A6:A36"/>
    <mergeCell ref="O6:P6"/>
    <mergeCell ref="B7:D7"/>
    <mergeCell ref="O7:P7"/>
    <mergeCell ref="D9:K9"/>
  </mergeCells>
  <printOptions horizontalCentered="1"/>
  <pageMargins left="0.11811023622047245" right="0.11811023622047245" top="0.5511811023622047" bottom="0.3937007874015748" header="0.5118110236220472" footer="0.5118110236220472"/>
  <pageSetup fitToHeight="1" fitToWidth="1" horizontalDpi="180" verticalDpi="18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L37"/>
  <sheetViews>
    <sheetView showGridLines="0" zoomScalePageLayoutView="0" workbookViewId="0" topLeftCell="A10">
      <selection activeCell="A44" sqref="A44:K46"/>
    </sheetView>
  </sheetViews>
  <sheetFormatPr defaultColWidth="9.140625" defaultRowHeight="12.75"/>
  <cols>
    <col min="1" max="2" width="9.140625" style="160" customWidth="1"/>
    <col min="3" max="3" width="8.57421875" style="160" customWidth="1"/>
    <col min="4" max="16384" width="9.140625" style="160" customWidth="1"/>
  </cols>
  <sheetData>
    <row r="1" spans="1:10" ht="13.5">
      <c r="A1" s="360" t="s">
        <v>221</v>
      </c>
      <c r="B1" s="360"/>
      <c r="C1" s="360"/>
      <c r="D1" s="360"/>
      <c r="E1" s="360"/>
      <c r="F1" s="360"/>
      <c r="G1" s="360"/>
      <c r="H1" s="360"/>
      <c r="I1" s="360"/>
      <c r="J1" s="360"/>
    </row>
    <row r="2" spans="1:10" ht="13.5">
      <c r="A2" s="161"/>
      <c r="B2" s="158"/>
      <c r="C2" s="158"/>
      <c r="D2" s="158"/>
      <c r="E2" s="158"/>
      <c r="F2" s="158"/>
      <c r="G2" s="158"/>
      <c r="H2" s="158"/>
      <c r="I2" s="158"/>
      <c r="J2" s="158"/>
    </row>
    <row r="3" spans="1:10" ht="13.5">
      <c r="A3" s="162">
        <v>1</v>
      </c>
      <c r="B3" s="163"/>
      <c r="C3" s="163"/>
      <c r="D3" s="158" t="s">
        <v>222</v>
      </c>
      <c r="E3" s="158"/>
      <c r="F3" s="158"/>
      <c r="G3" s="163"/>
      <c r="H3" s="163"/>
      <c r="I3" s="163"/>
      <c r="J3" s="158"/>
    </row>
    <row r="4" spans="1:10" ht="13.5">
      <c r="A4" s="161"/>
      <c r="B4" s="158"/>
      <c r="C4" s="158"/>
      <c r="D4" s="158"/>
      <c r="E4" s="158"/>
      <c r="F4" s="158"/>
      <c r="G4" s="158"/>
      <c r="H4" s="158"/>
      <c r="I4" s="158"/>
      <c r="J4" s="158"/>
    </row>
    <row r="5" spans="1:10" ht="13.5">
      <c r="A5" s="162">
        <v>2</v>
      </c>
      <c r="B5" s="163"/>
      <c r="C5" s="163"/>
      <c r="D5" s="164" t="s">
        <v>223</v>
      </c>
      <c r="E5" s="158"/>
      <c r="F5" s="158"/>
      <c r="G5" s="163"/>
      <c r="H5" s="163"/>
      <c r="I5" s="163"/>
      <c r="J5" s="158"/>
    </row>
    <row r="6" spans="1:10" ht="13.5">
      <c r="A6" s="161"/>
      <c r="B6" s="158"/>
      <c r="C6" s="158"/>
      <c r="D6" s="158"/>
      <c r="E6" s="158"/>
      <c r="F6" s="158"/>
      <c r="G6" s="158"/>
      <c r="H6" s="158"/>
      <c r="I6" s="158"/>
      <c r="J6" s="158"/>
    </row>
    <row r="7" spans="1:10" ht="13.5">
      <c r="A7" s="162">
        <v>3</v>
      </c>
      <c r="B7" s="158" t="s">
        <v>224</v>
      </c>
      <c r="C7" s="163"/>
      <c r="D7" s="163"/>
      <c r="E7" s="163"/>
      <c r="F7" s="164" t="s">
        <v>225</v>
      </c>
      <c r="G7" s="163"/>
      <c r="H7" s="163"/>
      <c r="I7" s="163"/>
      <c r="J7" s="158"/>
    </row>
    <row r="8" spans="1:10" ht="13.5">
      <c r="A8" s="161"/>
      <c r="B8" s="158"/>
      <c r="C8" s="158"/>
      <c r="D8" s="158"/>
      <c r="E8" s="158"/>
      <c r="F8" s="158"/>
      <c r="G8" s="158"/>
      <c r="H8" s="158"/>
      <c r="I8" s="158"/>
      <c r="J8" s="158"/>
    </row>
    <row r="9" spans="1:10" ht="13.5">
      <c r="A9" s="161"/>
      <c r="B9" s="158"/>
      <c r="C9" s="158"/>
      <c r="D9" s="158"/>
      <c r="E9" s="158"/>
      <c r="F9" s="158"/>
      <c r="G9" s="158"/>
      <c r="H9" s="158"/>
      <c r="I9" s="158"/>
      <c r="J9" s="158"/>
    </row>
    <row r="10" spans="1:10" ht="13.5">
      <c r="A10" s="161"/>
      <c r="B10" s="158"/>
      <c r="C10" s="158"/>
      <c r="D10" s="158"/>
      <c r="E10" s="158"/>
      <c r="F10" s="158"/>
      <c r="G10" s="158"/>
      <c r="H10" s="158"/>
      <c r="I10" s="158"/>
      <c r="J10" s="158"/>
    </row>
    <row r="11" spans="1:10" ht="13.5">
      <c r="A11" s="161"/>
      <c r="B11" s="158"/>
      <c r="C11" s="158"/>
      <c r="D11" s="158"/>
      <c r="E11" s="158"/>
      <c r="F11" s="158"/>
      <c r="G11" s="158"/>
      <c r="H11" s="158"/>
      <c r="I11" s="158"/>
      <c r="J11" s="158"/>
    </row>
    <row r="12" spans="1:12" ht="15.75" customHeight="1">
      <c r="A12" s="361" t="s">
        <v>226</v>
      </c>
      <c r="B12" s="361"/>
      <c r="C12" s="165" t="str">
        <f>'47 cover page (2)'!H42&amp;"/-"</f>
        <v>12990/-</v>
      </c>
      <c r="D12" s="362" t="str">
        <f>"Rupees "&amp;'47 cover page (2)'!A44</f>
        <v>Rupees Twelve thousand Nine hundred Ninety only</v>
      </c>
      <c r="E12" s="362"/>
      <c r="F12" s="362"/>
      <c r="G12" s="362"/>
      <c r="H12" s="362"/>
      <c r="I12" s="362"/>
      <c r="J12" s="166"/>
      <c r="L12" s="167"/>
    </row>
    <row r="13" spans="1:10" ht="12.75" customHeight="1">
      <c r="A13" s="163"/>
      <c r="B13" s="163"/>
      <c r="C13" s="163"/>
      <c r="D13" s="363"/>
      <c r="E13" s="363"/>
      <c r="F13" s="363"/>
      <c r="G13" s="363"/>
      <c r="H13" s="363"/>
      <c r="I13" s="363"/>
      <c r="J13" s="166"/>
    </row>
    <row r="14" spans="1:10" ht="13.5">
      <c r="A14" s="161" t="s">
        <v>227</v>
      </c>
      <c r="B14" s="158"/>
      <c r="C14" s="158"/>
      <c r="D14" s="158"/>
      <c r="E14" s="158"/>
      <c r="F14" s="158"/>
      <c r="G14" s="158"/>
      <c r="H14" s="158"/>
      <c r="I14" s="158"/>
      <c r="J14" s="158"/>
    </row>
    <row r="15" spans="1:10" ht="13.5">
      <c r="A15" s="161"/>
      <c r="B15" s="158"/>
      <c r="C15" s="158"/>
      <c r="D15" s="158"/>
      <c r="E15" s="158"/>
      <c r="F15" s="158"/>
      <c r="G15" s="158"/>
      <c r="H15" s="158"/>
      <c r="I15" s="158"/>
      <c r="J15" s="158"/>
    </row>
    <row r="16" spans="1:10" ht="13.5">
      <c r="A16" s="161" t="s">
        <v>228</v>
      </c>
      <c r="B16" s="158"/>
      <c r="C16" s="158"/>
      <c r="D16" s="158"/>
      <c r="E16" s="158"/>
      <c r="F16" s="158"/>
      <c r="G16" s="158"/>
      <c r="H16" s="158"/>
      <c r="I16" s="158"/>
      <c r="J16" s="158"/>
    </row>
    <row r="17" spans="1:10" ht="13.5">
      <c r="A17" s="161"/>
      <c r="B17" s="158"/>
      <c r="C17" s="158"/>
      <c r="D17" s="158"/>
      <c r="E17" s="158"/>
      <c r="F17" s="158"/>
      <c r="G17" s="158"/>
      <c r="H17" s="158"/>
      <c r="I17" s="158"/>
      <c r="J17" s="158"/>
    </row>
    <row r="18" spans="1:10" ht="13.5">
      <c r="A18" s="161"/>
      <c r="B18" s="158"/>
      <c r="C18" s="158"/>
      <c r="D18" s="158"/>
      <c r="E18" s="158"/>
      <c r="F18" s="158"/>
      <c r="G18" s="158"/>
      <c r="H18" s="158"/>
      <c r="I18" s="158"/>
      <c r="J18" s="158"/>
    </row>
    <row r="19" spans="1:10" ht="13.5">
      <c r="A19" s="161"/>
      <c r="B19" s="158"/>
      <c r="C19" s="158"/>
      <c r="D19" s="158"/>
      <c r="E19" s="158"/>
      <c r="F19" s="158"/>
      <c r="G19" s="158"/>
      <c r="H19" s="158"/>
      <c r="I19" s="158"/>
      <c r="J19" s="158"/>
    </row>
    <row r="20" spans="1:10" ht="13.5">
      <c r="A20" s="161"/>
      <c r="B20" s="158"/>
      <c r="C20" s="158"/>
      <c r="D20" s="158"/>
      <c r="E20" s="158"/>
      <c r="F20" s="158"/>
      <c r="G20" s="158"/>
      <c r="H20" s="158"/>
      <c r="I20" s="158"/>
      <c r="J20" s="158"/>
    </row>
    <row r="21" spans="1:10" ht="13.5">
      <c r="A21" s="161"/>
      <c r="B21" s="158"/>
      <c r="C21" s="158"/>
      <c r="D21" s="158"/>
      <c r="E21" s="158"/>
      <c r="F21" s="158"/>
      <c r="G21" s="158"/>
      <c r="H21" s="158"/>
      <c r="I21" s="158"/>
      <c r="J21" s="158"/>
    </row>
    <row r="22" spans="1:10" ht="13.5">
      <c r="A22" s="161"/>
      <c r="B22" s="158"/>
      <c r="C22" s="158"/>
      <c r="D22" s="158"/>
      <c r="E22" s="158"/>
      <c r="F22" s="158"/>
      <c r="G22" s="158"/>
      <c r="H22" s="158"/>
      <c r="I22" s="158"/>
      <c r="J22" s="158"/>
    </row>
    <row r="23" spans="1:10" ht="13.5">
      <c r="A23" s="161" t="s">
        <v>229</v>
      </c>
      <c r="B23" s="158"/>
      <c r="C23" s="158"/>
      <c r="D23" s="158"/>
      <c r="E23" s="158"/>
      <c r="F23" s="158"/>
      <c r="G23" s="158"/>
      <c r="H23" s="158"/>
      <c r="I23" s="158"/>
      <c r="J23" s="158"/>
    </row>
    <row r="24" spans="1:10" ht="13.5">
      <c r="A24" s="161"/>
      <c r="B24" s="158"/>
      <c r="C24" s="158"/>
      <c r="D24" s="158"/>
      <c r="E24" s="158"/>
      <c r="F24" s="158"/>
      <c r="G24" s="158"/>
      <c r="H24" s="158"/>
      <c r="I24" s="158"/>
      <c r="J24" s="158"/>
    </row>
    <row r="25" ht="13.5">
      <c r="A25" s="168"/>
    </row>
    <row r="26" ht="13.5">
      <c r="A26" s="168"/>
    </row>
    <row r="27" ht="13.5">
      <c r="A27" s="168" t="s">
        <v>230</v>
      </c>
    </row>
    <row r="28" ht="13.5">
      <c r="A28" s="168" t="s">
        <v>231</v>
      </c>
    </row>
    <row r="29" ht="13.5">
      <c r="A29" s="168"/>
    </row>
    <row r="30" ht="13.5">
      <c r="A30" s="168"/>
    </row>
    <row r="31" ht="13.5">
      <c r="A31" s="168"/>
    </row>
    <row r="32" ht="13.5">
      <c r="A32" s="168"/>
    </row>
    <row r="33" ht="13.5">
      <c r="A33" s="168"/>
    </row>
    <row r="34" ht="13.5">
      <c r="A34" s="168"/>
    </row>
    <row r="35" ht="13.5">
      <c r="A35" s="168"/>
    </row>
    <row r="36" spans="5:8" ht="13.5">
      <c r="E36" s="168" t="s">
        <v>232</v>
      </c>
      <c r="H36" s="168" t="s">
        <v>233</v>
      </c>
    </row>
    <row r="37" ht="15">
      <c r="A37" s="169"/>
    </row>
  </sheetData>
  <sheetProtection password="DE4B" sheet="1" selectLockedCells="1"/>
  <mergeCells count="3">
    <mergeCell ref="A1:J1"/>
    <mergeCell ref="A12:B12"/>
    <mergeCell ref="D12:I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C140"/>
  <sheetViews>
    <sheetView showGridLines="0" zoomScalePageLayoutView="0" workbookViewId="0" topLeftCell="A1">
      <selection activeCell="R9" sqref="R9:AC9"/>
    </sheetView>
  </sheetViews>
  <sheetFormatPr defaultColWidth="9.140625" defaultRowHeight="12.75"/>
  <cols>
    <col min="1" max="1" width="11.7109375" style="171" customWidth="1"/>
    <col min="2" max="2" width="4.00390625" style="171" customWidth="1"/>
    <col min="3" max="3" width="0.42578125" style="171" customWidth="1"/>
    <col min="4" max="4" width="3.8515625" style="171" customWidth="1"/>
    <col min="5" max="5" width="0.42578125" style="171" customWidth="1"/>
    <col min="6" max="6" width="4.00390625" style="171" customWidth="1"/>
    <col min="7" max="7" width="0.42578125" style="171" customWidth="1"/>
    <col min="8" max="8" width="4.00390625" style="171" customWidth="1"/>
    <col min="9" max="9" width="0.42578125" style="171" customWidth="1"/>
    <col min="10" max="10" width="4.00390625" style="171" customWidth="1"/>
    <col min="11" max="11" width="1.7109375" style="171" customWidth="1"/>
    <col min="12" max="12" width="4.00390625" style="171" customWidth="1"/>
    <col min="13" max="13" width="0.42578125" style="171" customWidth="1"/>
    <col min="14" max="14" width="4.140625" style="171" customWidth="1"/>
    <col min="15" max="15" width="0.42578125" style="171" customWidth="1"/>
    <col min="16" max="16" width="1.7109375" style="171" customWidth="1"/>
    <col min="17" max="17" width="3.00390625" style="171" customWidth="1"/>
    <col min="18" max="18" width="1.7109375" style="171" customWidth="1"/>
    <col min="19" max="19" width="0.42578125" style="171" customWidth="1"/>
    <col min="20" max="20" width="4.00390625" style="171" customWidth="1"/>
    <col min="21" max="21" width="0.42578125" style="171" customWidth="1"/>
    <col min="22" max="22" width="4.00390625" style="171" customWidth="1"/>
    <col min="23" max="23" width="0.42578125" style="171" customWidth="1"/>
    <col min="24" max="24" width="1.28515625" style="171" customWidth="1"/>
    <col min="25" max="25" width="3.140625" style="171" customWidth="1"/>
    <col min="26" max="26" width="0.42578125" style="171" customWidth="1"/>
    <col min="27" max="27" width="0.85546875" style="171" customWidth="1"/>
    <col min="28" max="28" width="0.42578125" style="171" customWidth="1"/>
    <col min="29" max="29" width="2.8515625" style="171" customWidth="1"/>
    <col min="30" max="30" width="0.42578125" style="171" customWidth="1"/>
    <col min="31" max="31" width="0.85546875" style="171" customWidth="1"/>
    <col min="32" max="32" width="3.8515625" style="171" customWidth="1"/>
    <col min="33" max="33" width="1.1484375" style="171" customWidth="1"/>
    <col min="34" max="35" width="0" style="171" hidden="1" customWidth="1"/>
    <col min="36" max="36" width="7.8515625" style="171" customWidth="1"/>
    <col min="37" max="37" width="12.140625" style="171" customWidth="1"/>
    <col min="38" max="38" width="4.421875" style="171" hidden="1" customWidth="1"/>
    <col min="39" max="39" width="9.140625" style="171" customWidth="1"/>
    <col min="40" max="40" width="7.28125" style="171" customWidth="1"/>
    <col min="41" max="41" width="9.140625" style="171" customWidth="1"/>
    <col min="42" max="42" width="7.28125" style="171" customWidth="1"/>
    <col min="43" max="43" width="7.00390625" style="171" customWidth="1"/>
    <col min="44" max="44" width="7.421875" style="171" customWidth="1"/>
    <col min="45" max="45" width="12.28125" style="171" customWidth="1"/>
    <col min="46" max="49" width="9.140625" style="171" hidden="1" customWidth="1"/>
    <col min="50" max="50" width="9.140625" style="80" hidden="1" customWidth="1"/>
    <col min="51" max="51" width="12.421875" style="80" hidden="1" customWidth="1"/>
    <col min="52" max="52" width="9.57421875" style="80" hidden="1" customWidth="1"/>
    <col min="53" max="55" width="9.140625" style="80" hidden="1" customWidth="1"/>
    <col min="56" max="61" width="9.140625" style="171" hidden="1" customWidth="1"/>
    <col min="62" max="93" width="0" style="171" hidden="1" customWidth="1"/>
    <col min="94" max="16384" width="9.140625" style="171" customWidth="1"/>
  </cols>
  <sheetData>
    <row r="1" spans="1:51" ht="20.25">
      <c r="A1" s="364" t="s">
        <v>114</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170"/>
      <c r="AF1" s="170"/>
      <c r="AI1" s="171">
        <f>'[3]Annexure I'!E9</f>
        <v>14530</v>
      </c>
      <c r="AK1" s="365" t="s">
        <v>234</v>
      </c>
      <c r="AL1" s="365"/>
      <c r="AM1" s="365"/>
      <c r="AN1" s="365"/>
      <c r="AO1" s="365"/>
      <c r="AP1" s="365"/>
      <c r="AQ1" s="365"/>
      <c r="AR1" s="365"/>
      <c r="AY1" s="80" t="e">
        <f>'[1]bill'!#REF!</f>
        <v>#REF!</v>
      </c>
    </row>
    <row r="2" spans="1:51" ht="15" customHeight="1">
      <c r="A2" s="172"/>
      <c r="B2" s="172"/>
      <c r="C2" s="172"/>
      <c r="D2" s="172"/>
      <c r="E2" s="172"/>
      <c r="F2" s="172"/>
      <c r="G2" s="172"/>
      <c r="I2" s="172"/>
      <c r="J2" s="366" t="s">
        <v>235</v>
      </c>
      <c r="K2" s="367"/>
      <c r="L2" s="367"/>
      <c r="M2" s="367"/>
      <c r="N2" s="368"/>
      <c r="O2" s="172"/>
      <c r="P2" s="172"/>
      <c r="Q2" s="172"/>
      <c r="R2" s="172"/>
      <c r="AI2" s="171">
        <f>'[3]Annexure I'!E30</f>
        <v>691</v>
      </c>
      <c r="AK2" s="369" t="s">
        <v>236</v>
      </c>
      <c r="AL2" s="369"/>
      <c r="AM2" s="369"/>
      <c r="AN2" s="369"/>
      <c r="AO2" s="369"/>
      <c r="AP2" s="369"/>
      <c r="AQ2" s="369"/>
      <c r="AR2" s="369"/>
      <c r="AY2" s="80" t="e">
        <f>'[1]bill'!#REF!</f>
        <v>#REF!</v>
      </c>
    </row>
    <row r="3" spans="1:44" ht="12" customHeight="1">
      <c r="A3" s="172"/>
      <c r="B3" s="172"/>
      <c r="C3" s="172"/>
      <c r="D3" s="172"/>
      <c r="E3" s="172"/>
      <c r="F3" s="172"/>
      <c r="G3" s="172"/>
      <c r="H3" s="173"/>
      <c r="I3" s="173"/>
      <c r="J3" s="173"/>
      <c r="K3" s="173"/>
      <c r="L3" s="173"/>
      <c r="M3" s="173"/>
      <c r="N3" s="173"/>
      <c r="O3" s="173"/>
      <c r="P3" s="173"/>
      <c r="Q3" s="173"/>
      <c r="R3" s="173"/>
      <c r="AK3" s="369" t="s">
        <v>237</v>
      </c>
      <c r="AL3" s="369"/>
      <c r="AM3" s="369"/>
      <c r="AN3" s="369"/>
      <c r="AO3" s="369"/>
      <c r="AP3" s="369"/>
      <c r="AQ3" s="369"/>
      <c r="AR3" s="369"/>
    </row>
    <row r="4" spans="1:55" s="174" customFormat="1" ht="20.25" customHeight="1">
      <c r="A4" s="174" t="s">
        <v>238</v>
      </c>
      <c r="B4" s="175" t="str">
        <f>AX43</f>
        <v>0</v>
      </c>
      <c r="C4" s="176"/>
      <c r="D4" s="175" t="str">
        <f>AY43</f>
        <v>5</v>
      </c>
      <c r="E4" s="176"/>
      <c r="F4" s="175" t="str">
        <f>AZ43</f>
        <v>1</v>
      </c>
      <c r="G4" s="176"/>
      <c r="H4" s="175" t="str">
        <f>BA43</f>
        <v>2</v>
      </c>
      <c r="N4" s="177"/>
      <c r="O4" s="178"/>
      <c r="P4" s="178"/>
      <c r="Q4" s="178"/>
      <c r="R4" s="178"/>
      <c r="S4" s="178"/>
      <c r="T4" s="178"/>
      <c r="U4" s="178"/>
      <c r="V4" s="370" t="s">
        <v>239</v>
      </c>
      <c r="W4" s="370"/>
      <c r="X4" s="370"/>
      <c r="Y4" s="370"/>
      <c r="Z4" s="370"/>
      <c r="AA4" s="370"/>
      <c r="AB4" s="370"/>
      <c r="AC4" s="370"/>
      <c r="AD4" s="179"/>
      <c r="AE4" s="180"/>
      <c r="AF4" s="180"/>
      <c r="AS4" s="171"/>
      <c r="AT4" s="171"/>
      <c r="AU4" s="171"/>
      <c r="AV4" s="171"/>
      <c r="AW4" s="171"/>
      <c r="AX4" s="80"/>
      <c r="AY4" s="80"/>
      <c r="AZ4" s="80"/>
      <c r="BA4" s="80"/>
      <c r="BB4" s="80"/>
      <c r="BC4" s="80"/>
    </row>
    <row r="5" spans="1:55" s="174" customFormat="1" ht="19.5" customHeight="1">
      <c r="A5" s="181" t="s">
        <v>240</v>
      </c>
      <c r="B5" s="371" t="str">
        <f>data!C17</f>
        <v>STO, NUZVID</v>
      </c>
      <c r="C5" s="371"/>
      <c r="D5" s="371"/>
      <c r="E5" s="371"/>
      <c r="F5" s="371"/>
      <c r="G5" s="371"/>
      <c r="H5" s="371"/>
      <c r="I5" s="371"/>
      <c r="J5" s="371"/>
      <c r="K5" s="371"/>
      <c r="N5" s="182" t="s">
        <v>30</v>
      </c>
      <c r="O5" s="180"/>
      <c r="P5" s="180"/>
      <c r="Q5" s="180"/>
      <c r="R5" s="372"/>
      <c r="S5" s="372"/>
      <c r="T5" s="372"/>
      <c r="U5" s="372"/>
      <c r="V5" s="372"/>
      <c r="W5" s="372"/>
      <c r="X5" s="372"/>
      <c r="Y5" s="372"/>
      <c r="Z5" s="372"/>
      <c r="AA5" s="372"/>
      <c r="AB5" s="372"/>
      <c r="AC5" s="372"/>
      <c r="AD5" s="183"/>
      <c r="AE5" s="180"/>
      <c r="AF5" s="180"/>
      <c r="AK5" s="184" t="s">
        <v>241</v>
      </c>
      <c r="AL5" s="184"/>
      <c r="AM5" s="185" t="str">
        <f>B7</f>
        <v>05120308013</v>
      </c>
      <c r="AN5" s="171"/>
      <c r="AO5" s="171"/>
      <c r="AP5" s="186" t="str">
        <f>"Treasury / PAO Code  : "&amp;'47 cover page'!R12</f>
        <v>Treasury / PAO Code  : 0512</v>
      </c>
      <c r="AQ5" s="171"/>
      <c r="AR5" s="171"/>
      <c r="AS5" s="171"/>
      <c r="AT5" s="171"/>
      <c r="AU5" s="171"/>
      <c r="AV5" s="171"/>
      <c r="AW5" s="171"/>
      <c r="AX5" s="80"/>
      <c r="AY5" s="80"/>
      <c r="AZ5" s="80"/>
      <c r="BA5" s="80"/>
      <c r="BB5" s="80"/>
      <c r="BC5" s="80"/>
    </row>
    <row r="6" spans="2:55" s="174" customFormat="1" ht="6.75" customHeight="1">
      <c r="B6" s="180"/>
      <c r="C6" s="180"/>
      <c r="D6" s="180"/>
      <c r="E6" s="180"/>
      <c r="F6" s="180"/>
      <c r="G6" s="180"/>
      <c r="H6" s="180"/>
      <c r="N6" s="187"/>
      <c r="O6" s="180"/>
      <c r="P6" s="180"/>
      <c r="Q6" s="180"/>
      <c r="R6" s="180"/>
      <c r="S6" s="180"/>
      <c r="T6" s="180"/>
      <c r="U6" s="180"/>
      <c r="V6" s="188"/>
      <c r="W6" s="188"/>
      <c r="X6" s="188"/>
      <c r="Y6" s="188"/>
      <c r="Z6" s="188"/>
      <c r="AA6" s="188"/>
      <c r="AB6" s="188"/>
      <c r="AC6" s="188"/>
      <c r="AD6" s="183"/>
      <c r="AE6" s="180"/>
      <c r="AF6" s="180"/>
      <c r="AO6" s="171"/>
      <c r="AQ6" s="186"/>
      <c r="AR6" s="189"/>
      <c r="AS6" s="171"/>
      <c r="AT6" s="171"/>
      <c r="AU6" s="171"/>
      <c r="AV6" s="171"/>
      <c r="AW6" s="171"/>
      <c r="AX6" s="80"/>
      <c r="AY6" s="80"/>
      <c r="AZ6" s="80"/>
      <c r="BA6" s="80"/>
      <c r="BB6" s="80"/>
      <c r="BC6" s="80"/>
    </row>
    <row r="7" spans="1:55" s="174" customFormat="1" ht="24" customHeight="1">
      <c r="A7" s="174" t="s">
        <v>242</v>
      </c>
      <c r="B7" s="373" t="str">
        <f>data!C23</f>
        <v>05120308013</v>
      </c>
      <c r="C7" s="374"/>
      <c r="D7" s="374"/>
      <c r="E7" s="374"/>
      <c r="F7" s="374"/>
      <c r="G7" s="374"/>
      <c r="H7" s="375"/>
      <c r="N7" s="182" t="s">
        <v>120</v>
      </c>
      <c r="O7" s="180"/>
      <c r="P7" s="180"/>
      <c r="Q7" s="180"/>
      <c r="R7" s="180"/>
      <c r="S7" s="183"/>
      <c r="T7" s="376"/>
      <c r="U7" s="377"/>
      <c r="V7" s="377"/>
      <c r="W7" s="377"/>
      <c r="X7" s="377"/>
      <c r="Y7" s="377"/>
      <c r="Z7" s="377"/>
      <c r="AA7" s="377"/>
      <c r="AB7" s="377"/>
      <c r="AC7" s="378"/>
      <c r="AD7" s="183"/>
      <c r="AE7" s="180"/>
      <c r="AF7" s="180"/>
      <c r="AK7" s="190" t="s">
        <v>243</v>
      </c>
      <c r="AL7" s="186"/>
      <c r="AM7" s="379" t="str">
        <f>D9&amp;", "&amp;R9</f>
        <v>HEAD MASTER, SRRZPHS NUZVID</v>
      </c>
      <c r="AN7" s="379"/>
      <c r="AO7" s="379"/>
      <c r="AP7" s="380" t="s">
        <v>244</v>
      </c>
      <c r="AQ7" s="380"/>
      <c r="AR7" s="381" t="str">
        <f>B5</f>
        <v>STO, NUZVID</v>
      </c>
      <c r="AS7" s="381"/>
      <c r="AT7" s="171"/>
      <c r="AU7" s="171"/>
      <c r="AV7" s="171"/>
      <c r="AW7" s="171"/>
      <c r="AX7" s="80"/>
      <c r="AY7" s="80"/>
      <c r="AZ7" s="80"/>
      <c r="BA7" s="80"/>
      <c r="BB7" s="80"/>
      <c r="BC7" s="80"/>
    </row>
    <row r="8" spans="2:55" s="174" customFormat="1" ht="3.75" customHeight="1">
      <c r="B8" s="180"/>
      <c r="C8" s="180"/>
      <c r="D8" s="180"/>
      <c r="E8" s="180"/>
      <c r="F8" s="180"/>
      <c r="G8" s="180"/>
      <c r="H8" s="180"/>
      <c r="N8" s="191"/>
      <c r="O8" s="188"/>
      <c r="P8" s="188"/>
      <c r="Q8" s="188"/>
      <c r="R8" s="188"/>
      <c r="S8" s="188"/>
      <c r="T8" s="188"/>
      <c r="U8" s="188"/>
      <c r="V8" s="188"/>
      <c r="W8" s="188"/>
      <c r="X8" s="188"/>
      <c r="Y8" s="188"/>
      <c r="Z8" s="188"/>
      <c r="AA8" s="188"/>
      <c r="AB8" s="188"/>
      <c r="AC8" s="192"/>
      <c r="AD8" s="193"/>
      <c r="AE8" s="180"/>
      <c r="AF8" s="180"/>
      <c r="AK8" s="186"/>
      <c r="AL8" s="186"/>
      <c r="AM8" s="194"/>
      <c r="AN8" s="186"/>
      <c r="AO8" s="186"/>
      <c r="AP8" s="186"/>
      <c r="AQ8" s="186"/>
      <c r="AR8" s="186"/>
      <c r="AS8" s="171"/>
      <c r="AT8" s="171"/>
      <c r="AU8" s="171"/>
      <c r="AV8" s="171"/>
      <c r="AW8" s="171"/>
      <c r="AX8" s="80"/>
      <c r="AY8" s="80"/>
      <c r="AZ8" s="80"/>
      <c r="BA8" s="80"/>
      <c r="BB8" s="80"/>
      <c r="BC8" s="80"/>
    </row>
    <row r="9" spans="1:55" s="174" customFormat="1" ht="30.75" customHeight="1">
      <c r="A9" s="181" t="s">
        <v>245</v>
      </c>
      <c r="D9" s="382" t="str">
        <f>data!C20</f>
        <v>HEAD MASTER</v>
      </c>
      <c r="E9" s="382"/>
      <c r="F9" s="382"/>
      <c r="G9" s="382"/>
      <c r="H9" s="382"/>
      <c r="I9" s="382"/>
      <c r="J9" s="382"/>
      <c r="K9" s="195"/>
      <c r="L9" s="383" t="s">
        <v>246</v>
      </c>
      <c r="M9" s="383"/>
      <c r="N9" s="383"/>
      <c r="O9" s="383"/>
      <c r="P9" s="383"/>
      <c r="Q9" s="383"/>
      <c r="R9" s="384" t="str">
        <f>data!C21</f>
        <v>SRRZPHS NUZVID</v>
      </c>
      <c r="S9" s="384"/>
      <c r="T9" s="384"/>
      <c r="U9" s="384"/>
      <c r="V9" s="384"/>
      <c r="W9" s="384"/>
      <c r="X9" s="384"/>
      <c r="Y9" s="384"/>
      <c r="Z9" s="384"/>
      <c r="AA9" s="384"/>
      <c r="AB9" s="384"/>
      <c r="AC9" s="384"/>
      <c r="AK9" s="171" t="s">
        <v>247</v>
      </c>
      <c r="AL9" s="171"/>
      <c r="AM9" s="171"/>
      <c r="AN9" s="171"/>
      <c r="AO9" s="171"/>
      <c r="AP9" s="171"/>
      <c r="AQ9" s="171"/>
      <c r="AR9" s="171"/>
      <c r="AS9" s="171"/>
      <c r="AT9" s="171"/>
      <c r="AU9" s="171"/>
      <c r="AV9" s="171"/>
      <c r="AW9" s="171"/>
      <c r="AX9" s="80"/>
      <c r="AY9" s="80"/>
      <c r="AZ9" s="80"/>
      <c r="BA9" s="80"/>
      <c r="BB9" s="80"/>
      <c r="BC9" s="80"/>
    </row>
    <row r="10" spans="4:55" s="174" customFormat="1" ht="6" customHeight="1">
      <c r="D10" s="180"/>
      <c r="E10" s="180"/>
      <c r="F10" s="180"/>
      <c r="G10" s="180"/>
      <c r="H10" s="180"/>
      <c r="AL10" s="171"/>
      <c r="AM10" s="171"/>
      <c r="AN10" s="171"/>
      <c r="AO10" s="171"/>
      <c r="AP10" s="171"/>
      <c r="AQ10" s="171"/>
      <c r="AR10" s="171"/>
      <c r="AS10" s="171"/>
      <c r="AT10" s="171"/>
      <c r="AU10" s="171"/>
      <c r="AV10" s="171"/>
      <c r="AW10" s="171"/>
      <c r="AX10" s="80"/>
      <c r="AY10" s="80"/>
      <c r="AZ10" s="80"/>
      <c r="BA10" s="80"/>
      <c r="BB10" s="80"/>
      <c r="BC10" s="80"/>
    </row>
    <row r="11" spans="1:55" s="174" customFormat="1" ht="24" customHeight="1">
      <c r="A11" s="174" t="s">
        <v>248</v>
      </c>
      <c r="D11" s="373" t="str">
        <f>data!C25</f>
        <v>0889</v>
      </c>
      <c r="E11" s="374"/>
      <c r="F11" s="374"/>
      <c r="G11" s="374"/>
      <c r="H11" s="375"/>
      <c r="J11" s="196" t="s">
        <v>249</v>
      </c>
      <c r="N11" s="385" t="str">
        <f>data!C26</f>
        <v>SBI NUZVID</v>
      </c>
      <c r="O11" s="386"/>
      <c r="P11" s="386"/>
      <c r="Q11" s="386"/>
      <c r="R11" s="386"/>
      <c r="S11" s="386"/>
      <c r="T11" s="386"/>
      <c r="U11" s="386"/>
      <c r="V11" s="386"/>
      <c r="W11" s="386"/>
      <c r="X11" s="386"/>
      <c r="Y11" s="386"/>
      <c r="Z11" s="386"/>
      <c r="AA11" s="386"/>
      <c r="AB11" s="386"/>
      <c r="AC11" s="386"/>
      <c r="AK11" s="171" t="s">
        <v>250</v>
      </c>
      <c r="AO11" s="171"/>
      <c r="AP11" s="171"/>
      <c r="AQ11" s="171"/>
      <c r="AR11" s="171"/>
      <c r="AS11" s="171"/>
      <c r="AT11" s="171"/>
      <c r="AU11" s="171"/>
      <c r="AV11" s="171"/>
      <c r="AW11" s="171"/>
      <c r="BB11" s="80"/>
      <c r="BC11" s="80"/>
    </row>
    <row r="12" spans="4:55" s="174" customFormat="1" ht="7.5" customHeight="1">
      <c r="D12" s="180"/>
      <c r="E12" s="180"/>
      <c r="F12" s="180"/>
      <c r="G12" s="180"/>
      <c r="H12" s="180"/>
      <c r="AO12" s="171"/>
      <c r="AP12" s="171"/>
      <c r="AQ12" s="171"/>
      <c r="AR12" s="171"/>
      <c r="AS12" s="171"/>
      <c r="AT12" s="171"/>
      <c r="AU12" s="171"/>
      <c r="AV12" s="171"/>
      <c r="AW12" s="171"/>
      <c r="BB12" s="80"/>
      <c r="BC12" s="80"/>
    </row>
    <row r="13" spans="1:55" s="174" customFormat="1" ht="20.25" customHeight="1">
      <c r="A13" s="174" t="s">
        <v>251</v>
      </c>
      <c r="D13" s="175">
        <f>'47 cover page'!D14</f>
        <v>2</v>
      </c>
      <c r="E13" s="176"/>
      <c r="F13" s="175">
        <f>'47 cover page'!E14</f>
        <v>0</v>
      </c>
      <c r="G13" s="176"/>
      <c r="H13" s="175">
        <f>'47 cover page'!F14</f>
        <v>7</v>
      </c>
      <c r="I13" s="176"/>
      <c r="J13" s="175">
        <f>'47 cover page'!G14</f>
        <v>1</v>
      </c>
      <c r="K13" s="176"/>
      <c r="L13" s="175">
        <f>'47 cover page'!D16</f>
        <v>0</v>
      </c>
      <c r="M13" s="176"/>
      <c r="N13" s="175">
        <f>'47 cover page'!E16</f>
        <v>1</v>
      </c>
      <c r="O13" s="176"/>
      <c r="P13" s="176"/>
      <c r="Q13" s="376">
        <f>'47 cover page'!D18</f>
        <v>1</v>
      </c>
      <c r="R13" s="378"/>
      <c r="S13" s="176"/>
      <c r="T13" s="175">
        <f>'47 cover page'!E18</f>
        <v>1</v>
      </c>
      <c r="U13" s="176"/>
      <c r="V13" s="175">
        <f>'47 cover page'!F18</f>
        <v>5</v>
      </c>
      <c r="W13" s="176"/>
      <c r="X13" s="176"/>
      <c r="Y13" s="376">
        <f>'47 cover page'!D20</f>
        <v>0</v>
      </c>
      <c r="Z13" s="377"/>
      <c r="AA13" s="378"/>
      <c r="AB13" s="197"/>
      <c r="AC13" s="376">
        <f>'47 cover page'!E20</f>
        <v>0</v>
      </c>
      <c r="AD13" s="377"/>
      <c r="AE13" s="378"/>
      <c r="AF13" s="198"/>
      <c r="AK13" s="199" t="s">
        <v>252</v>
      </c>
      <c r="AL13" s="200" t="s">
        <v>253</v>
      </c>
      <c r="AM13" s="200"/>
      <c r="AN13" s="201"/>
      <c r="AO13" s="171"/>
      <c r="AP13" s="171"/>
      <c r="AQ13" s="171"/>
      <c r="AR13" s="171"/>
      <c r="AS13" s="171"/>
      <c r="AT13" s="171"/>
      <c r="AU13" s="171"/>
      <c r="AV13" s="171"/>
      <c r="AW13" s="171"/>
      <c r="BB13" s="80"/>
      <c r="BC13" s="80"/>
    </row>
    <row r="14" spans="4:55" s="174" customFormat="1" ht="3.75" customHeight="1">
      <c r="D14" s="180"/>
      <c r="F14" s="180"/>
      <c r="H14" s="180"/>
      <c r="J14" s="180"/>
      <c r="L14" s="180"/>
      <c r="N14" s="180"/>
      <c r="Q14" s="180"/>
      <c r="R14" s="180"/>
      <c r="T14" s="180"/>
      <c r="V14" s="180"/>
      <c r="Y14" s="180"/>
      <c r="Z14" s="180"/>
      <c r="AA14" s="180"/>
      <c r="AB14" s="180"/>
      <c r="AC14" s="180"/>
      <c r="AD14" s="180"/>
      <c r="AE14" s="180"/>
      <c r="AF14" s="180"/>
      <c r="AT14" s="171"/>
      <c r="AU14" s="171"/>
      <c r="AV14" s="171"/>
      <c r="AW14" s="171"/>
      <c r="BB14" s="80"/>
      <c r="BC14" s="80"/>
    </row>
    <row r="15" spans="4:55" s="174" customFormat="1" ht="12" customHeight="1">
      <c r="D15" s="389" t="s">
        <v>254</v>
      </c>
      <c r="E15" s="389"/>
      <c r="F15" s="389"/>
      <c r="G15" s="389"/>
      <c r="H15" s="389"/>
      <c r="I15" s="389"/>
      <c r="J15" s="389"/>
      <c r="L15" s="389" t="s">
        <v>255</v>
      </c>
      <c r="M15" s="390"/>
      <c r="N15" s="390"/>
      <c r="Q15" s="387" t="s">
        <v>256</v>
      </c>
      <c r="R15" s="388"/>
      <c r="S15" s="388"/>
      <c r="T15" s="388"/>
      <c r="U15" s="388"/>
      <c r="V15" s="388"/>
      <c r="Y15" s="387" t="s">
        <v>257</v>
      </c>
      <c r="Z15" s="388"/>
      <c r="AA15" s="388"/>
      <c r="AB15" s="388"/>
      <c r="AC15" s="388"/>
      <c r="AD15" s="388"/>
      <c r="AE15" s="198"/>
      <c r="AF15" s="198"/>
      <c r="AK15" s="395"/>
      <c r="AL15" s="395"/>
      <c r="AM15" s="395"/>
      <c r="AN15" s="395"/>
      <c r="AT15" s="171"/>
      <c r="AU15" s="171"/>
      <c r="AV15" s="171"/>
      <c r="AW15" s="171"/>
      <c r="BB15" s="80"/>
      <c r="BC15" s="80"/>
    </row>
    <row r="16" spans="4:55" s="174" customFormat="1" ht="5.25" customHeight="1">
      <c r="D16" s="180"/>
      <c r="F16" s="180"/>
      <c r="H16" s="180"/>
      <c r="J16" s="180"/>
      <c r="L16" s="180"/>
      <c r="N16" s="180"/>
      <c r="R16" s="180"/>
      <c r="T16" s="180"/>
      <c r="V16" s="180"/>
      <c r="Y16" s="180"/>
      <c r="AC16" s="180"/>
      <c r="AT16" s="171"/>
      <c r="AU16" s="171"/>
      <c r="AV16" s="171"/>
      <c r="AW16" s="171"/>
      <c r="BB16" s="80"/>
      <c r="BC16" s="80"/>
    </row>
    <row r="17" spans="6:55" s="174" customFormat="1" ht="20.25" customHeight="1">
      <c r="F17" s="175">
        <f>'47 cover page'!D22</f>
        <v>1</v>
      </c>
      <c r="G17" s="176"/>
      <c r="H17" s="175">
        <f>'47 cover page'!E22</f>
        <v>4</v>
      </c>
      <c r="I17" s="176"/>
      <c r="J17" s="176"/>
      <c r="K17" s="176"/>
      <c r="L17" s="175" t="str">
        <f>'47 cover page'!D24</f>
        <v>0</v>
      </c>
      <c r="M17" s="176"/>
      <c r="N17" s="175" t="str">
        <f>'47 cover page'!E24</f>
        <v>0</v>
      </c>
      <c r="O17" s="176"/>
      <c r="P17" s="376" t="str">
        <f>'47 cover page'!F24</f>
        <v>3</v>
      </c>
      <c r="Q17" s="378"/>
      <c r="R17" s="176"/>
      <c r="S17" s="176"/>
      <c r="T17" s="176"/>
      <c r="U17" s="176"/>
      <c r="V17" s="175">
        <v>0</v>
      </c>
      <c r="W17" s="176"/>
      <c r="X17" s="376">
        <v>0</v>
      </c>
      <c r="Y17" s="378"/>
      <c r="Z17" s="176"/>
      <c r="AA17" s="376">
        <v>0</v>
      </c>
      <c r="AB17" s="377"/>
      <c r="AC17" s="378"/>
      <c r="AK17" s="171"/>
      <c r="AL17" s="171"/>
      <c r="AM17" s="369" t="s">
        <v>258</v>
      </c>
      <c r="AN17" s="369"/>
      <c r="AO17" s="202"/>
      <c r="AP17" s="173" t="s">
        <v>259</v>
      </c>
      <c r="AQ17" s="203"/>
      <c r="AR17" s="204" t="s">
        <v>260</v>
      </c>
      <c r="AS17" s="205">
        <f>X24</f>
        <v>12990</v>
      </c>
      <c r="AT17" s="171"/>
      <c r="AU17" s="171"/>
      <c r="AV17" s="171"/>
      <c r="AW17" s="171"/>
      <c r="BB17" s="80"/>
      <c r="BC17" s="80"/>
    </row>
    <row r="18" spans="6:55" s="174" customFormat="1" ht="3.75" customHeight="1">
      <c r="F18" s="180"/>
      <c r="H18" s="180"/>
      <c r="L18" s="180"/>
      <c r="N18" s="180"/>
      <c r="P18" s="180"/>
      <c r="Q18" s="180"/>
      <c r="V18" s="180"/>
      <c r="X18" s="180"/>
      <c r="Y18" s="180"/>
      <c r="AA18" s="180"/>
      <c r="AB18" s="180"/>
      <c r="AC18" s="180"/>
      <c r="AK18" s="171"/>
      <c r="AL18" s="171"/>
      <c r="AM18" s="171"/>
      <c r="AN18" s="171"/>
      <c r="AO18" s="171"/>
      <c r="AP18" s="171"/>
      <c r="AQ18" s="171"/>
      <c r="AR18" s="171"/>
      <c r="AS18" s="171"/>
      <c r="AT18" s="171"/>
      <c r="AU18" s="171"/>
      <c r="AV18" s="171"/>
      <c r="AW18" s="171"/>
      <c r="BB18" s="80"/>
      <c r="BC18" s="80"/>
    </row>
    <row r="19" spans="6:55" s="174" customFormat="1" ht="12" customHeight="1">
      <c r="F19" s="387" t="s">
        <v>261</v>
      </c>
      <c r="G19" s="388"/>
      <c r="H19" s="388"/>
      <c r="L19" s="387" t="s">
        <v>262</v>
      </c>
      <c r="M19" s="388"/>
      <c r="N19" s="388"/>
      <c r="O19" s="388"/>
      <c r="P19" s="388"/>
      <c r="Q19" s="388"/>
      <c r="V19" s="387" t="s">
        <v>263</v>
      </c>
      <c r="W19" s="388"/>
      <c r="X19" s="388"/>
      <c r="Y19" s="388"/>
      <c r="Z19" s="388"/>
      <c r="AA19" s="388"/>
      <c r="AB19" s="388"/>
      <c r="AC19" s="388"/>
      <c r="AK19" s="362" t="str">
        <f>A26</f>
        <v>(Net Rupees Twelve thousand Nine hundred Ninety only)</v>
      </c>
      <c r="AL19" s="362"/>
      <c r="AM19" s="362"/>
      <c r="AN19" s="362"/>
      <c r="AO19" s="362"/>
      <c r="AP19" s="362"/>
      <c r="AQ19" s="362"/>
      <c r="AR19" s="362"/>
      <c r="AS19" s="362"/>
      <c r="AT19" s="171"/>
      <c r="AU19" s="171"/>
      <c r="AV19" s="171"/>
      <c r="AW19" s="171"/>
      <c r="BB19" s="80"/>
      <c r="BC19" s="80"/>
    </row>
    <row r="20" spans="6:55" s="174" customFormat="1" ht="5.25" customHeight="1">
      <c r="F20" s="180"/>
      <c r="H20" s="180"/>
      <c r="L20" s="180"/>
      <c r="N20" s="180"/>
      <c r="P20" s="180"/>
      <c r="Q20" s="180"/>
      <c r="V20" s="180"/>
      <c r="X20" s="180"/>
      <c r="Y20" s="180"/>
      <c r="AA20" s="180"/>
      <c r="AB20" s="180"/>
      <c r="AC20" s="180"/>
      <c r="AK20" s="362"/>
      <c r="AL20" s="362"/>
      <c r="AM20" s="362"/>
      <c r="AN20" s="362"/>
      <c r="AO20" s="362"/>
      <c r="AP20" s="362"/>
      <c r="AQ20" s="362"/>
      <c r="AR20" s="362"/>
      <c r="AS20" s="362"/>
      <c r="AT20" s="171"/>
      <c r="AU20" s="171"/>
      <c r="AV20" s="171"/>
      <c r="AW20" s="171"/>
      <c r="BB20" s="80"/>
      <c r="BC20" s="80"/>
    </row>
    <row r="21" spans="1:55" s="174" customFormat="1" ht="12" customHeight="1">
      <c r="A21" s="206" t="s">
        <v>264</v>
      </c>
      <c r="B21" s="402" t="s">
        <v>147</v>
      </c>
      <c r="D21" s="207" t="s">
        <v>265</v>
      </c>
      <c r="J21" s="402" t="s">
        <v>149</v>
      </c>
      <c r="L21" s="206" t="s">
        <v>266</v>
      </c>
      <c r="V21" s="404">
        <v>2</v>
      </c>
      <c r="W21" s="208"/>
      <c r="X21" s="391">
        <v>2</v>
      </c>
      <c r="Y21" s="392"/>
      <c r="Z21" s="208"/>
      <c r="AA21" s="391">
        <v>0</v>
      </c>
      <c r="AB21" s="407"/>
      <c r="AC21" s="392"/>
      <c r="AD21" s="208"/>
      <c r="AE21" s="391">
        <v>2</v>
      </c>
      <c r="AF21" s="392"/>
      <c r="AG21" s="209"/>
      <c r="AK21" s="363"/>
      <c r="AL21" s="363"/>
      <c r="AM21" s="363"/>
      <c r="AN21" s="363"/>
      <c r="AO21" s="363"/>
      <c r="AP21" s="363"/>
      <c r="AQ21" s="363"/>
      <c r="AR21" s="363"/>
      <c r="AS21" s="363"/>
      <c r="AT21" s="171"/>
      <c r="AU21" s="171"/>
      <c r="AV21" s="171"/>
      <c r="AW21" s="171"/>
      <c r="BB21" s="80"/>
      <c r="BC21" s="80"/>
    </row>
    <row r="22" spans="1:55" s="174" customFormat="1" ht="16.5" customHeight="1">
      <c r="A22" s="206" t="s">
        <v>267</v>
      </c>
      <c r="B22" s="403"/>
      <c r="D22" s="207" t="s">
        <v>268</v>
      </c>
      <c r="J22" s="403"/>
      <c r="L22" s="206" t="s">
        <v>269</v>
      </c>
      <c r="V22" s="405"/>
      <c r="W22" s="208"/>
      <c r="X22" s="393"/>
      <c r="Y22" s="394"/>
      <c r="Z22" s="208"/>
      <c r="AA22" s="393"/>
      <c r="AB22" s="408"/>
      <c r="AC22" s="394"/>
      <c r="AD22" s="208"/>
      <c r="AE22" s="393"/>
      <c r="AF22" s="394"/>
      <c r="AG22" s="209"/>
      <c r="AK22" s="171" t="s">
        <v>270</v>
      </c>
      <c r="AL22" s="201"/>
      <c r="AM22" s="396"/>
      <c r="AN22" s="396"/>
      <c r="AO22" s="396"/>
      <c r="AP22" s="396"/>
      <c r="AQ22" s="396"/>
      <c r="AR22" s="210" t="s">
        <v>271</v>
      </c>
      <c r="AS22" s="171"/>
      <c r="AT22" s="171"/>
      <c r="AU22" s="171"/>
      <c r="AV22" s="171"/>
      <c r="AW22" s="171"/>
      <c r="BB22" s="80"/>
      <c r="BC22" s="80"/>
    </row>
    <row r="23" spans="37:55" s="174" customFormat="1" ht="18" customHeight="1">
      <c r="AK23" s="397" t="str">
        <f>data!C21</f>
        <v>SRRZPHS NUZVID</v>
      </c>
      <c r="AL23" s="397"/>
      <c r="AM23" s="397"/>
      <c r="AN23" s="397"/>
      <c r="AO23" s="171" t="s">
        <v>272</v>
      </c>
      <c r="AP23" s="171"/>
      <c r="AQ23" s="171"/>
      <c r="AR23" s="171"/>
      <c r="AS23" s="171"/>
      <c r="AT23" s="171"/>
      <c r="AU23" s="171"/>
      <c r="AV23" s="171"/>
      <c r="AW23" s="171"/>
      <c r="BB23" s="80"/>
      <c r="BC23" s="80"/>
    </row>
    <row r="24" spans="1:55" s="174" customFormat="1" ht="27" customHeight="1">
      <c r="A24" s="211" t="s">
        <v>273</v>
      </c>
      <c r="B24" s="398">
        <f>Bill!Q21</f>
        <v>12990</v>
      </c>
      <c r="C24" s="398"/>
      <c r="D24" s="398"/>
      <c r="E24" s="398"/>
      <c r="F24" s="398"/>
      <c r="G24" s="181"/>
      <c r="H24" s="399" t="s">
        <v>274</v>
      </c>
      <c r="I24" s="399"/>
      <c r="J24" s="399"/>
      <c r="K24" s="399"/>
      <c r="L24" s="399"/>
      <c r="M24" s="181"/>
      <c r="N24" s="398">
        <f>'47 cover page'!H41</f>
        <v>0</v>
      </c>
      <c r="O24" s="398"/>
      <c r="P24" s="398"/>
      <c r="Q24" s="398"/>
      <c r="R24" s="398"/>
      <c r="S24" s="181"/>
      <c r="T24" s="399" t="s">
        <v>275</v>
      </c>
      <c r="U24" s="399"/>
      <c r="V24" s="399"/>
      <c r="W24" s="181"/>
      <c r="X24" s="398">
        <f>B24-N24</f>
        <v>12990</v>
      </c>
      <c r="Y24" s="398"/>
      <c r="Z24" s="398"/>
      <c r="AA24" s="398"/>
      <c r="AB24" s="398"/>
      <c r="AC24" s="398"/>
      <c r="AD24" s="398"/>
      <c r="AE24" s="398"/>
      <c r="AF24" s="398"/>
      <c r="AK24" s="171" t="s">
        <v>276</v>
      </c>
      <c r="AL24" s="171"/>
      <c r="AM24" s="171"/>
      <c r="AN24" s="171"/>
      <c r="AO24" s="171"/>
      <c r="AP24" s="171"/>
      <c r="AQ24" s="171" t="s">
        <v>277</v>
      </c>
      <c r="AR24" s="171"/>
      <c r="AS24" s="171"/>
      <c r="AT24" s="171"/>
      <c r="AU24" s="171"/>
      <c r="AV24" s="171"/>
      <c r="AW24" s="171"/>
      <c r="BB24" s="80"/>
      <c r="BC24" s="80"/>
    </row>
    <row r="25" spans="1:55" s="174" customFormat="1" ht="10.5" customHeight="1">
      <c r="A25" s="211"/>
      <c r="B25" s="212"/>
      <c r="C25" s="212"/>
      <c r="D25" s="212"/>
      <c r="E25" s="212"/>
      <c r="F25" s="212"/>
      <c r="G25" s="181"/>
      <c r="H25" s="204"/>
      <c r="I25" s="204"/>
      <c r="J25" s="204"/>
      <c r="K25" s="204"/>
      <c r="L25" s="204"/>
      <c r="M25" s="181"/>
      <c r="N25" s="212"/>
      <c r="O25" s="212"/>
      <c r="P25" s="212"/>
      <c r="Q25" s="212"/>
      <c r="R25" s="212"/>
      <c r="S25" s="181"/>
      <c r="T25" s="204"/>
      <c r="U25" s="204"/>
      <c r="V25" s="204"/>
      <c r="W25" s="181"/>
      <c r="X25" s="212"/>
      <c r="Y25" s="212"/>
      <c r="Z25" s="212"/>
      <c r="AA25" s="212"/>
      <c r="AB25" s="212"/>
      <c r="AC25" s="212"/>
      <c r="AD25" s="212"/>
      <c r="AE25" s="212"/>
      <c r="AF25" s="212"/>
      <c r="AK25" s="171"/>
      <c r="AL25" s="171"/>
      <c r="AM25" s="171"/>
      <c r="AN25" s="171"/>
      <c r="AO25" s="171"/>
      <c r="AP25" s="171"/>
      <c r="AQ25" s="171"/>
      <c r="AR25" s="171"/>
      <c r="AS25" s="171"/>
      <c r="AT25" s="171"/>
      <c r="AU25" s="171"/>
      <c r="AV25" s="171"/>
      <c r="AW25" s="171"/>
      <c r="BB25" s="80"/>
      <c r="BC25" s="80"/>
    </row>
    <row r="26" spans="1:55" s="174" customFormat="1" ht="27.75" customHeight="1">
      <c r="A26" s="362" t="str">
        <f>"(Net Rupees "&amp;A114&amp;")"</f>
        <v>(Net Rupees Twelve thousand Nine hundred Ninety only)</v>
      </c>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K26" s="171" t="s">
        <v>278</v>
      </c>
      <c r="AL26" s="171"/>
      <c r="AM26" s="171"/>
      <c r="AN26" s="171"/>
      <c r="AO26" s="171"/>
      <c r="AP26" s="171"/>
      <c r="AQ26" s="171" t="s">
        <v>278</v>
      </c>
      <c r="AR26" s="171"/>
      <c r="AS26" s="171"/>
      <c r="AT26" s="171"/>
      <c r="AU26" s="171"/>
      <c r="AV26" s="171"/>
      <c r="AW26" s="171"/>
      <c r="AX26" s="80"/>
      <c r="AY26" s="80"/>
      <c r="AZ26" s="80"/>
      <c r="BA26" s="80"/>
      <c r="BB26" s="80"/>
      <c r="BC26" s="80"/>
    </row>
    <row r="27" spans="1:55" s="174" customFormat="1" ht="3.75" customHeight="1">
      <c r="A27" s="363"/>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K27" s="171"/>
      <c r="AL27" s="171"/>
      <c r="AM27" s="171"/>
      <c r="AN27" s="171"/>
      <c r="AO27" s="171"/>
      <c r="AP27" s="171"/>
      <c r="AQ27" s="171"/>
      <c r="AR27" s="171"/>
      <c r="AS27" s="171"/>
      <c r="AT27" s="171"/>
      <c r="AU27" s="171"/>
      <c r="AV27" s="171"/>
      <c r="AW27" s="171"/>
      <c r="AX27" s="80"/>
      <c r="AY27" s="80"/>
      <c r="AZ27" s="80"/>
      <c r="BA27" s="80"/>
      <c r="BB27" s="80"/>
      <c r="BC27" s="80"/>
    </row>
    <row r="28" spans="1:55" s="174" customFormat="1" ht="20.25" customHeight="1">
      <c r="A28" s="181" t="s">
        <v>279</v>
      </c>
      <c r="D28" s="213"/>
      <c r="E28" s="213"/>
      <c r="F28" s="213"/>
      <c r="G28" s="213"/>
      <c r="H28" s="213"/>
      <c r="I28" s="213"/>
      <c r="J28" s="213"/>
      <c r="K28" s="213"/>
      <c r="L28" s="188"/>
      <c r="N28" s="214" t="s">
        <v>280</v>
      </c>
      <c r="T28" s="406"/>
      <c r="U28" s="406"/>
      <c r="V28" s="406"/>
      <c r="W28" s="406"/>
      <c r="X28" s="406"/>
      <c r="Y28" s="406"/>
      <c r="Z28" s="406"/>
      <c r="AA28" s="406"/>
      <c r="AB28" s="406"/>
      <c r="AC28" s="406"/>
      <c r="AD28" s="406"/>
      <c r="AE28" s="406"/>
      <c r="AF28" s="406"/>
      <c r="AK28" s="171"/>
      <c r="AL28" s="171"/>
      <c r="AM28" s="171"/>
      <c r="AN28" s="171"/>
      <c r="AO28" s="171"/>
      <c r="AP28" s="171"/>
      <c r="AQ28" s="171"/>
      <c r="AR28" s="171"/>
      <c r="AS28" s="171"/>
      <c r="AT28" s="171"/>
      <c r="AU28" s="171"/>
      <c r="AV28" s="171"/>
      <c r="AW28" s="171"/>
      <c r="AX28" s="80"/>
      <c r="AY28" s="80"/>
      <c r="AZ28" s="80"/>
      <c r="BA28" s="80"/>
      <c r="BB28" s="80"/>
      <c r="BC28" s="80"/>
    </row>
    <row r="29" spans="1:55" s="174" customFormat="1" ht="20.25" customHeight="1">
      <c r="A29" s="174" t="s">
        <v>281</v>
      </c>
      <c r="AK29" s="171"/>
      <c r="AL29" s="171"/>
      <c r="AM29" s="171"/>
      <c r="AN29" s="171"/>
      <c r="AO29" s="171"/>
      <c r="AP29" s="171"/>
      <c r="AQ29" s="171"/>
      <c r="AR29" s="171"/>
      <c r="AS29" s="171"/>
      <c r="AT29" s="171"/>
      <c r="AU29" s="171"/>
      <c r="AV29" s="171"/>
      <c r="AW29" s="171"/>
      <c r="AX29" s="80"/>
      <c r="AY29" s="80"/>
      <c r="AZ29" s="80"/>
      <c r="BA29" s="80"/>
      <c r="BB29" s="80"/>
      <c r="BC29" s="80"/>
    </row>
    <row r="30" spans="37:55" s="174" customFormat="1" ht="13.5" customHeight="1">
      <c r="AK30" s="369" t="s">
        <v>282</v>
      </c>
      <c r="AL30" s="369"/>
      <c r="AM30" s="171"/>
      <c r="AN30" s="171"/>
      <c r="AO30" s="171"/>
      <c r="AP30" s="171"/>
      <c r="AQ30" s="171"/>
      <c r="AR30" s="171"/>
      <c r="AS30" s="171"/>
      <c r="AT30" s="171"/>
      <c r="AU30" s="171"/>
      <c r="AV30" s="171"/>
      <c r="AW30" s="171"/>
      <c r="AX30" s="80"/>
      <c r="AY30" s="80"/>
      <c r="AZ30" s="80"/>
      <c r="BA30" s="80"/>
      <c r="BB30" s="80"/>
      <c r="BC30" s="80"/>
    </row>
    <row r="31" spans="1:55" s="174" customFormat="1" ht="20.25" customHeight="1">
      <c r="A31" s="174" t="s">
        <v>283</v>
      </c>
      <c r="F31" s="206" t="s">
        <v>284</v>
      </c>
      <c r="AK31" s="171"/>
      <c r="AL31" s="171"/>
      <c r="AM31" s="171"/>
      <c r="AN31" s="171"/>
      <c r="AO31" s="171"/>
      <c r="AP31" s="171"/>
      <c r="AQ31" s="171"/>
      <c r="AR31" s="171"/>
      <c r="AS31" s="171"/>
      <c r="AT31" s="171"/>
      <c r="AU31" s="171"/>
      <c r="AV31" s="171"/>
      <c r="AW31" s="171"/>
      <c r="AX31" s="80"/>
      <c r="AY31" s="134"/>
      <c r="AZ31" s="80"/>
      <c r="BA31" s="80"/>
      <c r="BB31" s="80"/>
      <c r="BC31" s="80"/>
    </row>
    <row r="32" spans="1:55" s="174" customFormat="1" ht="20.25" customHeight="1">
      <c r="A32" s="174" t="s">
        <v>285</v>
      </c>
      <c r="F32" s="206" t="s">
        <v>286</v>
      </c>
      <c r="AK32" s="171"/>
      <c r="AL32" s="171"/>
      <c r="AM32" s="171"/>
      <c r="AN32" s="171"/>
      <c r="AO32" s="171"/>
      <c r="AP32" s="171"/>
      <c r="AQ32" s="171"/>
      <c r="AR32" s="171"/>
      <c r="AS32" s="171"/>
      <c r="AT32" s="171"/>
      <c r="AU32" s="171"/>
      <c r="AV32" s="171"/>
      <c r="AW32" s="171"/>
      <c r="AX32" s="80"/>
      <c r="AY32" s="134"/>
      <c r="AZ32" s="80"/>
      <c r="BA32" s="80"/>
      <c r="BB32" s="80"/>
      <c r="BC32" s="80"/>
    </row>
    <row r="33" spans="37:55" s="174" customFormat="1" ht="11.25" customHeight="1" hidden="1">
      <c r="AK33" s="171"/>
      <c r="AL33" s="171"/>
      <c r="AM33" s="171"/>
      <c r="AN33" s="171"/>
      <c r="AO33" s="171"/>
      <c r="AP33" s="171"/>
      <c r="AQ33" s="171"/>
      <c r="AR33" s="171"/>
      <c r="AS33" s="171"/>
      <c r="AT33" s="171"/>
      <c r="AU33" s="171"/>
      <c r="AV33" s="171"/>
      <c r="AW33" s="171"/>
      <c r="AX33" s="80"/>
      <c r="AY33" s="80"/>
      <c r="AZ33" s="80"/>
      <c r="BA33" s="80"/>
      <c r="BB33" s="80"/>
      <c r="BC33" s="80"/>
    </row>
    <row r="34" spans="37:55" s="174" customFormat="1" ht="11.25" customHeight="1">
      <c r="AK34" s="171" t="s">
        <v>26</v>
      </c>
      <c r="AL34" s="171"/>
      <c r="AM34" s="171"/>
      <c r="AN34" s="171"/>
      <c r="AO34" s="171"/>
      <c r="AP34" s="171"/>
      <c r="AQ34" s="171" t="s">
        <v>276</v>
      </c>
      <c r="AR34" s="171"/>
      <c r="AS34" s="171"/>
      <c r="AT34" s="171"/>
      <c r="AU34" s="171"/>
      <c r="AV34" s="171"/>
      <c r="AW34" s="171"/>
      <c r="AX34" s="80"/>
      <c r="AY34" s="80"/>
      <c r="AZ34" s="80"/>
      <c r="BA34" s="80"/>
      <c r="BB34" s="80"/>
      <c r="BC34" s="80"/>
    </row>
    <row r="35" spans="37:55" s="174" customFormat="1" ht="11.25" customHeight="1">
      <c r="AK35" s="171"/>
      <c r="AL35" s="171"/>
      <c r="AM35" s="171"/>
      <c r="AN35" s="171"/>
      <c r="AO35" s="171"/>
      <c r="AP35" s="171"/>
      <c r="AQ35" s="171" t="s">
        <v>287</v>
      </c>
      <c r="AR35" s="171"/>
      <c r="AS35" s="171"/>
      <c r="AT35" s="171"/>
      <c r="AU35" s="171"/>
      <c r="AV35" s="171"/>
      <c r="AW35" s="171"/>
      <c r="AX35" s="80"/>
      <c r="AY35" s="80"/>
      <c r="AZ35" s="80"/>
      <c r="BA35" s="80"/>
      <c r="BB35" s="80"/>
      <c r="BC35" s="80"/>
    </row>
    <row r="36" spans="1:55" s="174" customFormat="1" ht="20.25" customHeight="1">
      <c r="A36" s="174" t="s">
        <v>288</v>
      </c>
      <c r="H36" s="400" t="s">
        <v>282</v>
      </c>
      <c r="I36" s="400"/>
      <c r="J36" s="400"/>
      <c r="K36" s="400"/>
      <c r="L36" s="400"/>
      <c r="M36" s="400"/>
      <c r="N36" s="400"/>
      <c r="V36" s="400" t="s">
        <v>289</v>
      </c>
      <c r="W36" s="400"/>
      <c r="X36" s="400"/>
      <c r="Y36" s="400"/>
      <c r="Z36" s="400"/>
      <c r="AA36" s="400"/>
      <c r="AB36" s="400"/>
      <c r="AC36" s="400"/>
      <c r="AD36" s="400"/>
      <c r="AE36" s="400"/>
      <c r="AF36" s="400"/>
      <c r="AX36" s="80"/>
      <c r="AY36" s="80"/>
      <c r="AZ36" s="80"/>
      <c r="BA36" s="80"/>
      <c r="BB36" s="80"/>
      <c r="BC36" s="80"/>
    </row>
    <row r="39" spans="6:17" ht="12.75">
      <c r="F39" s="401" t="s">
        <v>288</v>
      </c>
      <c r="G39" s="401"/>
      <c r="H39" s="401"/>
      <c r="I39" s="401"/>
      <c r="J39" s="401"/>
      <c r="K39" s="401"/>
      <c r="L39" s="401"/>
      <c r="M39" s="401"/>
      <c r="N39" s="401"/>
      <c r="O39" s="401"/>
      <c r="P39" s="401"/>
      <c r="Q39" s="401"/>
    </row>
    <row r="41" spans="50:53" ht="12.75">
      <c r="AX41" s="120"/>
      <c r="AY41" s="139" t="str">
        <f>data!C23</f>
        <v>05120308013</v>
      </c>
      <c r="AZ41" s="120"/>
      <c r="BA41" s="120"/>
    </row>
    <row r="42" spans="50:53" ht="12.75">
      <c r="AX42" s="120" t="str">
        <f>LEFT(AY41,4)</f>
        <v>0512</v>
      </c>
      <c r="AY42" s="120"/>
      <c r="AZ42" s="120"/>
      <c r="BA42" s="120"/>
    </row>
    <row r="43" spans="50:53" ht="12.75">
      <c r="AX43" s="120" t="str">
        <f>LEFT(AX42,1)</f>
        <v>0</v>
      </c>
      <c r="AY43" s="120" t="str">
        <f>RIGHT(LEFT(AX42,2),1)</f>
        <v>5</v>
      </c>
      <c r="AZ43" s="120" t="str">
        <f>LEFT(RIGHT(AX42,2),1)</f>
        <v>1</v>
      </c>
      <c r="BA43" s="120" t="str">
        <f>RIGHT(RIGHT(AX42,2),1)</f>
        <v>2</v>
      </c>
    </row>
    <row r="44" spans="50:53" ht="12.75">
      <c r="AX44" s="120"/>
      <c r="AY44" s="120">
        <f>'[1]data'!C26</f>
        <v>0</v>
      </c>
      <c r="AZ44" s="120"/>
      <c r="BA44" s="120"/>
    </row>
    <row r="45" spans="50:53" ht="12.75">
      <c r="AX45" s="120"/>
      <c r="AY45" s="120"/>
      <c r="AZ45" s="120"/>
      <c r="BA45" s="120"/>
    </row>
    <row r="46" spans="50:53" ht="12.75">
      <c r="AX46" s="120"/>
      <c r="AY46" s="120" t="str">
        <f>LEFT(AY44,9)</f>
        <v>0</v>
      </c>
      <c r="AZ46" s="120"/>
      <c r="BA46" s="120"/>
    </row>
    <row r="47" spans="50:53" ht="12.75">
      <c r="AX47" s="120"/>
      <c r="AY47" s="120"/>
      <c r="AZ47" s="120"/>
      <c r="BA47" s="120"/>
    </row>
    <row r="48" spans="50:53" ht="12.75">
      <c r="AX48" s="120" t="str">
        <f>RIGHT(AY46,3)</f>
        <v>0</v>
      </c>
      <c r="AY48" s="120" t="str">
        <f>RIGHT(AY46,3)</f>
        <v>0</v>
      </c>
      <c r="AZ48" s="120" t="str">
        <f>RIGHT(AY46,3)</f>
        <v>0</v>
      </c>
      <c r="BA48" s="120"/>
    </row>
    <row r="49" spans="50:53" ht="12.75">
      <c r="AX49" s="120"/>
      <c r="AY49" s="120"/>
      <c r="AZ49" s="120"/>
      <c r="BA49" s="120"/>
    </row>
    <row r="50" spans="1:53" s="80" customFormat="1" ht="12.75">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20" t="str">
        <f>LEFT(AX48,1)</f>
        <v>0</v>
      </c>
      <c r="AY50" s="120" t="str">
        <f>LEFT(RIGHT(AY48,2),1)</f>
        <v>0</v>
      </c>
      <c r="AZ50" s="120">
        <f>RIGHT(AZ48,1)*1</f>
        <v>0</v>
      </c>
      <c r="BA50" s="120"/>
    </row>
    <row r="51" spans="1:53" s="80" customFormat="1" ht="12.75">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20"/>
      <c r="AY51" s="120"/>
      <c r="AZ51" s="120"/>
      <c r="BA51" s="120" t="s">
        <v>140</v>
      </c>
    </row>
    <row r="52" spans="1:53" s="80" customFormat="1" ht="12.75">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20"/>
      <c r="AY52" s="120" t="str">
        <f>LEFT(AY46,6)</f>
        <v>0</v>
      </c>
      <c r="AZ52" s="120"/>
      <c r="BA52" s="120"/>
    </row>
    <row r="53" spans="50:53" ht="12.75">
      <c r="AX53" s="120"/>
      <c r="AY53" s="120"/>
      <c r="AZ53" s="120"/>
      <c r="BA53" s="120"/>
    </row>
    <row r="54" spans="1:53" s="80" customFormat="1" ht="12.75">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20" t="str">
        <f>LEFT(RIGHT(AY52,2),1)</f>
        <v>0</v>
      </c>
      <c r="AY54" s="120" t="str">
        <f>RIGHT(RIGHT(AY52,2),1)</f>
        <v>0</v>
      </c>
      <c r="AZ54" s="120"/>
      <c r="BA54" s="120"/>
    </row>
    <row r="92" spans="1:51" s="80" customFormat="1" ht="12.75">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58"/>
      <c r="AY92" s="158"/>
    </row>
    <row r="93" spans="1:51" s="80" customFormat="1" ht="12.75">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58"/>
      <c r="AY93" s="158"/>
    </row>
    <row r="94" spans="1:51" s="80" customFormat="1" ht="12.75">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c r="AW94" s="171"/>
      <c r="AX94" s="158"/>
      <c r="AY94" s="158"/>
    </row>
    <row r="95" spans="1:51" s="80" customFormat="1" ht="12.75">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58"/>
      <c r="AY95" s="158"/>
    </row>
    <row r="96" spans="1:51" s="80" customFormat="1" ht="12.75">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58"/>
      <c r="AY96" s="158"/>
    </row>
    <row r="97" spans="1:51" s="80" customFormat="1" ht="12.75">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58"/>
      <c r="AY97" s="158"/>
    </row>
    <row r="98" spans="1:51" s="80" customFormat="1" ht="12.75">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58"/>
      <c r="AY98" s="158"/>
    </row>
    <row r="99" spans="1:51" s="80" customFormat="1" ht="12.75">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58"/>
      <c r="AY99" s="158"/>
    </row>
    <row r="100" spans="1:51" s="80" customFormat="1" ht="12.75">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58"/>
      <c r="AY100" s="158"/>
    </row>
    <row r="101" spans="1:51" s="80" customFormat="1" ht="12.75" hidden="1">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58"/>
      <c r="AY101" s="158"/>
    </row>
    <row r="102" spans="1:51" s="80" customFormat="1" ht="12.75" hidden="1">
      <c r="A102" s="215">
        <f>X24</f>
        <v>12990</v>
      </c>
      <c r="B102" s="216">
        <f>(A102-A105)/1000</f>
        <v>12</v>
      </c>
      <c r="C102" s="216"/>
      <c r="D102" s="216"/>
      <c r="E102" s="216"/>
      <c r="F102" s="216"/>
      <c r="G102" s="216"/>
      <c r="H102" s="216"/>
      <c r="I102" s="216"/>
      <c r="J102" s="216"/>
      <c r="K102" s="216"/>
      <c r="L102" s="216"/>
      <c r="M102" s="216"/>
      <c r="N102" s="216">
        <v>1</v>
      </c>
      <c r="O102" s="216" t="s">
        <v>194</v>
      </c>
      <c r="P102" s="216"/>
      <c r="Q102" s="216"/>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58"/>
      <c r="AY102" s="158"/>
    </row>
    <row r="103" spans="1:51" s="80" customFormat="1" ht="12.75" hidden="1">
      <c r="A103" s="216">
        <f>(B102-A104)/100</f>
        <v>0</v>
      </c>
      <c r="B103" s="216">
        <f>A103</f>
        <v>0</v>
      </c>
      <c r="C103" s="216">
        <f>RIGHT(B103,2)*1</f>
        <v>0</v>
      </c>
      <c r="D103" s="216">
        <f>(B103-C103)/100</f>
        <v>0</v>
      </c>
      <c r="E103" s="216">
        <f>(C103-RIGHT(C103,1)*1)/10</f>
        <v>0</v>
      </c>
      <c r="F103" s="216">
        <f>RIGHT(B103,1)*1</f>
        <v>0</v>
      </c>
      <c r="G103" s="216" t="str">
        <f>IF(E103=N103,P103,IF(E103=N104,P104,IF(E103=N105,P105,IF(E103=N106,P106,IF(E103=N107,P107,IF(E103=N108,P108,IF(E103=N109,P109,IF(E103=N110,P110," "))))))))</f>
        <v> </v>
      </c>
      <c r="H103" s="216" t="str">
        <f>IF(E103=1," ",IF(F103=N102,O102,IF(F103=N103,O103,IF(F103=N104,O104,IF(F103=N105,O105,IF(F103=N106,O106,IF(F103=N107,O107," ")))))))</f>
        <v> </v>
      </c>
      <c r="I103" s="216" t="str">
        <f>IF(E103=1," ",IF(F103=N108,O108,IF(F103=N109,O109,IF(F103=N110,O110," "))))</f>
        <v> </v>
      </c>
      <c r="J103" s="216" t="str">
        <f>IF(E103=0," ",IF(E103&gt;1," ",IF(F103=N103,O113,IF(F103=N104,O114,IF(F103=N105,O115,IF(F103=N106,O116,IF(F103=N107,O117,IF(F103=N108,O118," "))))))))</f>
        <v> </v>
      </c>
      <c r="K103" s="216" t="str">
        <f>IF(E103=0," ",IF(E103&gt;1," ",IF(F103=N109,O119,IF(F103=N110,O120,IF(F103=N102,O112,IF(F103=0,O111," "))))))</f>
        <v> </v>
      </c>
      <c r="L103" s="216" t="str">
        <f>IF(E103=0," ","lakh")</f>
        <v> </v>
      </c>
      <c r="M103" s="216" t="str">
        <f>IF(F103=0," ",IF(E103&gt;0," ","lakh"))</f>
        <v> </v>
      </c>
      <c r="N103" s="216">
        <v>2</v>
      </c>
      <c r="O103" s="216" t="s">
        <v>195</v>
      </c>
      <c r="P103" s="216" t="s">
        <v>196</v>
      </c>
      <c r="Q103" s="216"/>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58"/>
      <c r="AY103" s="158"/>
    </row>
    <row r="104" spans="1:51" s="80" customFormat="1" ht="12.75" hidden="1">
      <c r="A104" s="216">
        <f>RIGHT(B102,2)*1</f>
        <v>12</v>
      </c>
      <c r="B104" s="216">
        <f>A104</f>
        <v>12</v>
      </c>
      <c r="C104" s="216">
        <f>RIGHT(B104,2)*1</f>
        <v>12</v>
      </c>
      <c r="D104" s="216">
        <f>(B104-C104)/100</f>
        <v>0</v>
      </c>
      <c r="E104" s="216">
        <f>(C104-RIGHT(C104,1)*1)/10</f>
        <v>1</v>
      </c>
      <c r="F104" s="216">
        <f>RIGHT(B104,1)*1</f>
        <v>2</v>
      </c>
      <c r="G104" s="216" t="str">
        <f>IF(E104=N103,P103,IF(E104=N104,P104,IF(E104=N105,P105,IF(E104=N106,P106,IF(E104=N107,P107,IF(E104=N108,P108,IF(E104=N109,P109,IF(E104=N110,P110," "))))))))</f>
        <v> </v>
      </c>
      <c r="H104" s="216" t="str">
        <f>IF(E104=1," ",IF(F104=N102,O102,IF(F104=N103,O103,IF(F104=N104,O104,IF(F104=N105,O105,IF(F104=N106,O106,IF(F104=N107,O107," ")))))))</f>
        <v> </v>
      </c>
      <c r="I104" s="216" t="str">
        <f>IF(E104=1," ",IF(F104=N108,O108,IF(F104=N109,O109,IF(F104=N110,O110," "))))</f>
        <v> </v>
      </c>
      <c r="J104" s="216" t="str">
        <f>IF(E104=0," ",IF(E104&gt;1," ",IF(F104=N103,O113,IF(F104=N104,O114,IF(F104=N105,O115,IF(F104=N106,O116,IF(F104=N107,O117,IF(F104=N108,O118," "))))))))</f>
        <v>Twelve</v>
      </c>
      <c r="K104" s="216" t="str">
        <f>IF(E104=0," ",IF(E104&gt;1," ",IF(F104=N109,O119,IF(F104=N110,O120,IF(F104=N102,O112,IF(F104=0,O111," "))))))</f>
        <v> </v>
      </c>
      <c r="L104" s="216" t="str">
        <f>IF(E104=0," ","thousand")</f>
        <v>thousand</v>
      </c>
      <c r="M104" s="216" t="str">
        <f>IF(F104=0," ",IF(E104&gt;0," ","thousand"))</f>
        <v> </v>
      </c>
      <c r="N104" s="216">
        <v>3</v>
      </c>
      <c r="O104" s="216" t="s">
        <v>197</v>
      </c>
      <c r="P104" s="216" t="s">
        <v>198</v>
      </c>
      <c r="Q104" s="216"/>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58"/>
      <c r="AY104" s="158"/>
    </row>
    <row r="105" spans="1:51" s="80" customFormat="1" ht="12.75" hidden="1">
      <c r="A105" s="216">
        <f>RIGHT(A102,3)*1</f>
        <v>990</v>
      </c>
      <c r="B105" s="216">
        <f>A105</f>
        <v>990</v>
      </c>
      <c r="C105" s="216">
        <f>ROUND((B105-D106)/100,0)</f>
        <v>9</v>
      </c>
      <c r="D105" s="216"/>
      <c r="E105" s="216"/>
      <c r="F105" s="216"/>
      <c r="G105" s="216"/>
      <c r="H105" s="216" t="str">
        <f>IF(C105=0," ",IF(C105=N102,O102,IF(C105=N103,O103,IF(C105=N104,O104,IF(C105=N105,O105,IF(C105=N106,O106,IF(C105=N107,O107," ")))))))</f>
        <v> </v>
      </c>
      <c r="I105" s="216" t="str">
        <f>IF(C105=0," ",IF(C105=N108,O108,IF(C105=N109,O109,IF(C105=N110,O110," "))))</f>
        <v>Nine</v>
      </c>
      <c r="J105" s="216"/>
      <c r="K105" s="216"/>
      <c r="L105" s="216" t="str">
        <f>IF(C105=0," ","hundred")</f>
        <v>hundred</v>
      </c>
      <c r="M105" s="216"/>
      <c r="N105" s="216">
        <v>4</v>
      </c>
      <c r="O105" s="216" t="s">
        <v>199</v>
      </c>
      <c r="P105" s="216" t="s">
        <v>200</v>
      </c>
      <c r="Q105" s="216"/>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58"/>
      <c r="AY105" s="158"/>
    </row>
    <row r="106" spans="1:51" s="80" customFormat="1" ht="12.75" hidden="1">
      <c r="A106" s="216"/>
      <c r="B106" s="216"/>
      <c r="C106" s="216"/>
      <c r="D106" s="216">
        <f>RIGHT(B105,2)*1</f>
        <v>90</v>
      </c>
      <c r="E106" s="216">
        <f>(D106-RIGHT(D106,1)*1)/10</f>
        <v>9</v>
      </c>
      <c r="F106" s="216">
        <f>RIGHT(B105,1)*1</f>
        <v>0</v>
      </c>
      <c r="G106" s="216" t="str">
        <f>IF(E106=N103,P103,IF(E106=N104,P104,IF(E106=N105,P105,IF(E106=N106,P106,IF(E106=N107,P107,IF(E106=N108,P108,IF(E106=N109,P109,IF(E106=N110,P110," "))))))))</f>
        <v>Ninety </v>
      </c>
      <c r="H106" s="216" t="str">
        <f>IF(E106=1," ",IF(F106=N102,O102,IF(F106=N103,O103,IF(F106=N104,O104,IF(F106=N105,O105,IF(F106=N106,O106,IF(F106=N107,O107," ")))))))</f>
        <v> </v>
      </c>
      <c r="I106" s="216" t="str">
        <f>IF(E106=1," ",IF(F106=N108,O108,IF(F106=N109,O109,IF(F106=N110,O110," "))))</f>
        <v> </v>
      </c>
      <c r="J106" s="216" t="str">
        <f>IF(E106=0," ",IF(E106&gt;1," ",IF(F106=N103,O113,IF(F106=N104,O114,IF(F106=N105,O115,IF(F106=N106,O116,IF(F106=O117,O107,IF(F106=N108,O118," "))))))))</f>
        <v> </v>
      </c>
      <c r="K106" s="216" t="str">
        <f>IF(E106=0," ",IF(E106&gt;1," ",IF(F106=N109,O119,IF(F106=N110,O120,IF(F106=N102,O112,IF(F106=0,O111," "))))))</f>
        <v> </v>
      </c>
      <c r="L106" s="216"/>
      <c r="M106" s="216"/>
      <c r="N106" s="216">
        <v>5</v>
      </c>
      <c r="O106" s="216" t="s">
        <v>201</v>
      </c>
      <c r="P106" s="216" t="s">
        <v>202</v>
      </c>
      <c r="Q106" s="216"/>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58"/>
      <c r="AY106" s="158"/>
    </row>
    <row r="107" spans="1:51" s="80" customFormat="1" ht="12.75" hidden="1">
      <c r="A107" s="216"/>
      <c r="B107" s="216"/>
      <c r="C107" s="216"/>
      <c r="D107" s="216"/>
      <c r="E107" s="216">
        <f>E106</f>
        <v>9</v>
      </c>
      <c r="F107" s="216">
        <f>F106</f>
        <v>0</v>
      </c>
      <c r="G107" s="216"/>
      <c r="H107" s="216"/>
      <c r="I107" s="216"/>
      <c r="J107" s="216"/>
      <c r="K107" s="216"/>
      <c r="L107" s="216"/>
      <c r="M107" s="216"/>
      <c r="N107" s="216">
        <v>6</v>
      </c>
      <c r="O107" s="216" t="s">
        <v>203</v>
      </c>
      <c r="P107" s="216" t="s">
        <v>204</v>
      </c>
      <c r="Q107" s="216"/>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58"/>
      <c r="AY107" s="158"/>
    </row>
    <row r="108" spans="1:51" s="80" customFormat="1" ht="12.75" hidden="1">
      <c r="A108" s="216"/>
      <c r="B108" s="216"/>
      <c r="C108" s="216"/>
      <c r="D108" s="216"/>
      <c r="E108" s="216"/>
      <c r="F108" s="216"/>
      <c r="G108" s="216"/>
      <c r="H108" s="216"/>
      <c r="I108" s="216"/>
      <c r="J108" s="216"/>
      <c r="K108" s="216"/>
      <c r="L108" s="216"/>
      <c r="M108" s="216"/>
      <c r="N108" s="216">
        <v>7</v>
      </c>
      <c r="O108" s="216" t="s">
        <v>205</v>
      </c>
      <c r="P108" s="216" t="s">
        <v>206</v>
      </c>
      <c r="Q108" s="216"/>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58"/>
      <c r="AY108" s="158"/>
    </row>
    <row r="109" spans="1:51" s="80" customFormat="1" ht="12.75" hidden="1">
      <c r="A109" s="216"/>
      <c r="B109" s="216"/>
      <c r="C109" s="216"/>
      <c r="D109" s="216"/>
      <c r="E109" s="216"/>
      <c r="F109" s="216"/>
      <c r="G109" s="216"/>
      <c r="H109" s="216"/>
      <c r="I109" s="216"/>
      <c r="J109" s="216"/>
      <c r="K109" s="216"/>
      <c r="L109" s="216"/>
      <c r="M109" s="216"/>
      <c r="N109" s="216">
        <v>8</v>
      </c>
      <c r="O109" s="216" t="s">
        <v>207</v>
      </c>
      <c r="P109" s="216" t="s">
        <v>208</v>
      </c>
      <c r="Q109" s="216"/>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58"/>
      <c r="AY109" s="158"/>
    </row>
    <row r="110" spans="1:51" s="80" customFormat="1" ht="12.75" hidden="1">
      <c r="A110" s="216">
        <f>TRIM(G103&amp;" "&amp;H103&amp;" "&amp;I103&amp;" "&amp;J103&amp;" "&amp;K103&amp;" "&amp;L103&amp;" "&amp;M103)</f>
      </c>
      <c r="B110" s="216"/>
      <c r="C110" s="216"/>
      <c r="D110" s="216"/>
      <c r="E110" s="216"/>
      <c r="F110" s="216"/>
      <c r="G110" s="216"/>
      <c r="H110" s="216"/>
      <c r="I110" s="216"/>
      <c r="J110" s="216"/>
      <c r="K110" s="216"/>
      <c r="L110" s="216"/>
      <c r="M110" s="216"/>
      <c r="N110" s="216">
        <v>9</v>
      </c>
      <c r="O110" s="216" t="s">
        <v>209</v>
      </c>
      <c r="P110" s="216" t="s">
        <v>210</v>
      </c>
      <c r="Q110" s="216"/>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58"/>
      <c r="AY110" s="158"/>
    </row>
    <row r="111" spans="1:51" s="80" customFormat="1" ht="12.75" hidden="1">
      <c r="A111" s="216" t="str">
        <f>TRIM(G104&amp;" "&amp;H104&amp;" "&amp;I104&amp;" "&amp;J104&amp;" "&amp;K104&amp;" "&amp;L104&amp;" "&amp;M104)</f>
        <v>Twelve thousand</v>
      </c>
      <c r="B111" s="216"/>
      <c r="C111" s="216"/>
      <c r="D111" s="216"/>
      <c r="E111" s="216"/>
      <c r="F111" s="216"/>
      <c r="G111" s="216"/>
      <c r="H111" s="216"/>
      <c r="I111" s="216"/>
      <c r="J111" s="216"/>
      <c r="K111" s="216"/>
      <c r="L111" s="216"/>
      <c r="M111" s="216"/>
      <c r="N111" s="216">
        <v>10</v>
      </c>
      <c r="O111" s="216" t="s">
        <v>211</v>
      </c>
      <c r="P111" s="216"/>
      <c r="Q111" s="216"/>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58"/>
      <c r="AY111" s="158"/>
    </row>
    <row r="112" spans="1:51" s="80" customFormat="1" ht="12.75" hidden="1">
      <c r="A112" s="216" t="str">
        <f>TRIM(G105&amp;" "&amp;H105&amp;" "&amp;I105&amp;" "&amp;J105&amp;" "&amp;K105&amp;" "&amp;L105&amp;" "&amp;M105)</f>
        <v>Nine hundred</v>
      </c>
      <c r="B112" s="216"/>
      <c r="C112" s="216"/>
      <c r="D112" s="216"/>
      <c r="E112" s="216"/>
      <c r="F112" s="216"/>
      <c r="G112" s="216"/>
      <c r="H112" s="216"/>
      <c r="I112" s="216"/>
      <c r="J112" s="216"/>
      <c r="K112" s="216"/>
      <c r="L112" s="216"/>
      <c r="M112" s="216"/>
      <c r="N112" s="216">
        <v>11</v>
      </c>
      <c r="O112" s="216" t="s">
        <v>212</v>
      </c>
      <c r="P112" s="216"/>
      <c r="Q112" s="216"/>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58"/>
      <c r="AY112" s="158"/>
    </row>
    <row r="113" spans="1:51" s="80" customFormat="1" ht="12.75" hidden="1">
      <c r="A113" s="216" t="str">
        <f>TRIM(G106&amp;" "&amp;H106&amp;" "&amp;I106&amp;" "&amp;J106&amp;" "&amp;K106)</f>
        <v>Ninety</v>
      </c>
      <c r="B113" s="216"/>
      <c r="C113" s="216"/>
      <c r="D113" s="216"/>
      <c r="E113" s="216"/>
      <c r="F113" s="216"/>
      <c r="G113" s="216"/>
      <c r="H113" s="216"/>
      <c r="I113" s="216"/>
      <c r="J113" s="216"/>
      <c r="K113" s="216"/>
      <c r="L113" s="216"/>
      <c r="M113" s="216"/>
      <c r="N113" s="216">
        <v>12</v>
      </c>
      <c r="O113" s="216" t="s">
        <v>213</v>
      </c>
      <c r="P113" s="216"/>
      <c r="Q113" s="216"/>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58"/>
      <c r="AY113" s="158"/>
    </row>
    <row r="114" spans="1:51" s="80" customFormat="1" ht="12.75" hidden="1">
      <c r="A114" s="216" t="str">
        <f>TRIM(A110&amp;" "&amp;A111&amp;" "&amp;A112&amp;" "&amp;A113)&amp;" only"</f>
        <v>Twelve thousand Nine hundred Ninety only</v>
      </c>
      <c r="B114" s="216"/>
      <c r="C114" s="216"/>
      <c r="D114" s="216"/>
      <c r="E114" s="216"/>
      <c r="F114" s="216"/>
      <c r="G114" s="216"/>
      <c r="H114" s="216"/>
      <c r="I114" s="216"/>
      <c r="J114" s="216"/>
      <c r="K114" s="216"/>
      <c r="L114" s="216"/>
      <c r="M114" s="216"/>
      <c r="N114" s="216">
        <v>13</v>
      </c>
      <c r="O114" s="216" t="s">
        <v>214</v>
      </c>
      <c r="P114" s="216"/>
      <c r="Q114" s="216"/>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58"/>
      <c r="AY114" s="158"/>
    </row>
    <row r="115" spans="1:51" s="80" customFormat="1" ht="12.75" hidden="1">
      <c r="A115" s="216"/>
      <c r="B115" s="216"/>
      <c r="C115" s="216"/>
      <c r="D115" s="216"/>
      <c r="E115" s="216"/>
      <c r="F115" s="216"/>
      <c r="G115" s="216"/>
      <c r="H115" s="216"/>
      <c r="I115" s="216"/>
      <c r="J115" s="216"/>
      <c r="K115" s="216"/>
      <c r="L115" s="216"/>
      <c r="M115" s="216"/>
      <c r="N115" s="216">
        <v>14</v>
      </c>
      <c r="O115" s="216" t="s">
        <v>215</v>
      </c>
      <c r="P115" s="216"/>
      <c r="Q115" s="216"/>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58"/>
      <c r="AY115" s="158"/>
    </row>
    <row r="116" spans="1:51" s="80" customFormat="1" ht="12.75" hidden="1">
      <c r="A116" s="216"/>
      <c r="B116" s="216"/>
      <c r="C116" s="216"/>
      <c r="D116" s="216"/>
      <c r="E116" s="216"/>
      <c r="F116" s="216"/>
      <c r="G116" s="216"/>
      <c r="H116" s="216"/>
      <c r="I116" s="216"/>
      <c r="J116" s="216"/>
      <c r="K116" s="216"/>
      <c r="L116" s="216"/>
      <c r="M116" s="216"/>
      <c r="N116" s="216">
        <v>15</v>
      </c>
      <c r="O116" s="216" t="s">
        <v>216</v>
      </c>
      <c r="P116" s="216"/>
      <c r="Q116" s="216"/>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58"/>
      <c r="AY116" s="158"/>
    </row>
    <row r="117" spans="1:51" s="80" customFormat="1" ht="12.75" hidden="1">
      <c r="A117" s="216"/>
      <c r="B117" s="216"/>
      <c r="C117" s="216"/>
      <c r="D117" s="216"/>
      <c r="E117" s="216"/>
      <c r="F117" s="216"/>
      <c r="G117" s="216"/>
      <c r="H117" s="216"/>
      <c r="I117" s="216"/>
      <c r="J117" s="216"/>
      <c r="K117" s="216"/>
      <c r="L117" s="216"/>
      <c r="M117" s="216"/>
      <c r="N117" s="216">
        <v>16</v>
      </c>
      <c r="O117" s="216" t="s">
        <v>217</v>
      </c>
      <c r="P117" s="216"/>
      <c r="Q117" s="216"/>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58"/>
      <c r="AY117" s="158"/>
    </row>
    <row r="118" spans="1:51" s="80" customFormat="1" ht="12.75" hidden="1">
      <c r="A118" s="216"/>
      <c r="B118" s="216"/>
      <c r="C118" s="216"/>
      <c r="D118" s="216"/>
      <c r="E118" s="216"/>
      <c r="F118" s="216"/>
      <c r="G118" s="216"/>
      <c r="H118" s="216"/>
      <c r="I118" s="216"/>
      <c r="J118" s="216"/>
      <c r="K118" s="216"/>
      <c r="L118" s="216"/>
      <c r="M118" s="216"/>
      <c r="N118" s="216">
        <v>17</v>
      </c>
      <c r="O118" s="216" t="s">
        <v>218</v>
      </c>
      <c r="P118" s="216"/>
      <c r="Q118" s="216"/>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58"/>
      <c r="AY118" s="158"/>
    </row>
    <row r="119" spans="1:51" s="80" customFormat="1" ht="12.75" hidden="1">
      <c r="A119" s="216"/>
      <c r="B119" s="216"/>
      <c r="C119" s="216"/>
      <c r="D119" s="216"/>
      <c r="E119" s="216"/>
      <c r="F119" s="216"/>
      <c r="G119" s="216"/>
      <c r="H119" s="216"/>
      <c r="I119" s="216"/>
      <c r="J119" s="216"/>
      <c r="K119" s="216"/>
      <c r="L119" s="216"/>
      <c r="M119" s="216"/>
      <c r="N119" s="216">
        <v>18</v>
      </c>
      <c r="O119" s="216" t="s">
        <v>219</v>
      </c>
      <c r="P119" s="216"/>
      <c r="Q119" s="216"/>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58"/>
      <c r="AY119" s="158"/>
    </row>
    <row r="120" spans="1:51" s="80" customFormat="1" ht="12.75" hidden="1">
      <c r="A120" s="216"/>
      <c r="B120" s="216"/>
      <c r="C120" s="216"/>
      <c r="D120" s="216"/>
      <c r="E120" s="216"/>
      <c r="F120" s="216"/>
      <c r="G120" s="216"/>
      <c r="H120" s="216"/>
      <c r="I120" s="216"/>
      <c r="J120" s="216"/>
      <c r="K120" s="216"/>
      <c r="L120" s="216"/>
      <c r="M120" s="216"/>
      <c r="N120" s="216">
        <v>19</v>
      </c>
      <c r="O120" s="216" t="s">
        <v>220</v>
      </c>
      <c r="P120" s="216"/>
      <c r="Q120" s="216"/>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58"/>
      <c r="AY120" s="158"/>
    </row>
    <row r="121" spans="1:51" s="80" customFormat="1" ht="12.75" hidden="1">
      <c r="A121" s="216"/>
      <c r="B121" s="216"/>
      <c r="C121" s="216"/>
      <c r="D121" s="216"/>
      <c r="E121" s="216"/>
      <c r="F121" s="216"/>
      <c r="G121" s="216"/>
      <c r="H121" s="216"/>
      <c r="I121" s="216"/>
      <c r="J121" s="216"/>
      <c r="K121" s="216"/>
      <c r="L121" s="216"/>
      <c r="M121" s="216"/>
      <c r="N121" s="216">
        <v>20</v>
      </c>
      <c r="O121" s="216" t="s">
        <v>196</v>
      </c>
      <c r="P121" s="216"/>
      <c r="Q121" s="216"/>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58"/>
      <c r="AY121" s="158"/>
    </row>
    <row r="122" spans="1:51" s="80" customFormat="1" ht="12.75" hidden="1">
      <c r="A122" s="216"/>
      <c r="B122" s="216"/>
      <c r="C122" s="216"/>
      <c r="D122" s="216"/>
      <c r="E122" s="216"/>
      <c r="F122" s="216"/>
      <c r="G122" s="216"/>
      <c r="H122" s="216"/>
      <c r="I122" s="216"/>
      <c r="J122" s="216"/>
      <c r="K122" s="216"/>
      <c r="L122" s="216"/>
      <c r="M122" s="216"/>
      <c r="N122" s="216">
        <v>30</v>
      </c>
      <c r="O122" s="216" t="s">
        <v>198</v>
      </c>
      <c r="P122" s="216"/>
      <c r="Q122" s="216"/>
      <c r="R122" s="171"/>
      <c r="S122" s="171"/>
      <c r="T122" s="171"/>
      <c r="U122" s="171"/>
      <c r="V122" s="171"/>
      <c r="W122" s="171"/>
      <c r="X122" s="171"/>
      <c r="Y122" s="171"/>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58"/>
      <c r="AY122" s="158"/>
    </row>
    <row r="123" spans="1:51" s="80" customFormat="1" ht="12.75" hidden="1">
      <c r="A123" s="216"/>
      <c r="B123" s="216"/>
      <c r="C123" s="216"/>
      <c r="D123" s="216"/>
      <c r="E123" s="216"/>
      <c r="F123" s="216"/>
      <c r="G123" s="216"/>
      <c r="H123" s="216"/>
      <c r="I123" s="216"/>
      <c r="J123" s="216"/>
      <c r="K123" s="216"/>
      <c r="L123" s="216"/>
      <c r="M123" s="216"/>
      <c r="N123" s="216">
        <v>40</v>
      </c>
      <c r="O123" s="216" t="s">
        <v>200</v>
      </c>
      <c r="P123" s="216"/>
      <c r="Q123" s="216"/>
      <c r="R123" s="171"/>
      <c r="S123" s="171"/>
      <c r="T123" s="171"/>
      <c r="U123" s="171"/>
      <c r="V123" s="171"/>
      <c r="W123" s="171"/>
      <c r="X123" s="171"/>
      <c r="Y123" s="171"/>
      <c r="Z123" s="171"/>
      <c r="AA123" s="171"/>
      <c r="AB123" s="171"/>
      <c r="AC123" s="171"/>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58"/>
      <c r="AY123" s="158"/>
    </row>
    <row r="124" spans="1:51" s="80" customFormat="1" ht="12.75" hidden="1">
      <c r="A124" s="216"/>
      <c r="B124" s="216"/>
      <c r="C124" s="216"/>
      <c r="D124" s="216"/>
      <c r="E124" s="216"/>
      <c r="F124" s="216"/>
      <c r="G124" s="216"/>
      <c r="H124" s="216"/>
      <c r="I124" s="216"/>
      <c r="J124" s="216"/>
      <c r="K124" s="216"/>
      <c r="L124" s="216"/>
      <c r="M124" s="216"/>
      <c r="N124" s="216">
        <v>50</v>
      </c>
      <c r="O124" s="216" t="s">
        <v>202</v>
      </c>
      <c r="P124" s="216"/>
      <c r="Q124" s="216"/>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58"/>
      <c r="AY124" s="158"/>
    </row>
    <row r="125" spans="1:51" s="80" customFormat="1" ht="12.75" hidden="1">
      <c r="A125" s="216"/>
      <c r="B125" s="216"/>
      <c r="C125" s="216"/>
      <c r="D125" s="216"/>
      <c r="E125" s="216"/>
      <c r="F125" s="216"/>
      <c r="G125" s="216"/>
      <c r="H125" s="216"/>
      <c r="I125" s="216"/>
      <c r="J125" s="216"/>
      <c r="K125" s="216"/>
      <c r="L125" s="216"/>
      <c r="M125" s="216"/>
      <c r="N125" s="216">
        <v>60</v>
      </c>
      <c r="O125" s="216" t="s">
        <v>204</v>
      </c>
      <c r="P125" s="216"/>
      <c r="Q125" s="216"/>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58"/>
      <c r="AY125" s="158"/>
    </row>
    <row r="126" spans="1:51" s="80" customFormat="1" ht="12.75" hidden="1">
      <c r="A126" s="216"/>
      <c r="B126" s="216"/>
      <c r="C126" s="216"/>
      <c r="D126" s="216"/>
      <c r="E126" s="216"/>
      <c r="F126" s="216"/>
      <c r="G126" s="216"/>
      <c r="H126" s="216"/>
      <c r="I126" s="216"/>
      <c r="J126" s="216"/>
      <c r="K126" s="216"/>
      <c r="L126" s="216"/>
      <c r="M126" s="216"/>
      <c r="N126" s="216">
        <v>70</v>
      </c>
      <c r="O126" s="216" t="s">
        <v>206</v>
      </c>
      <c r="P126" s="216"/>
      <c r="Q126" s="216"/>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58"/>
      <c r="AY126" s="158"/>
    </row>
    <row r="127" spans="1:51" s="80" customFormat="1" ht="12.75" hidden="1">
      <c r="A127" s="216"/>
      <c r="B127" s="216"/>
      <c r="C127" s="216"/>
      <c r="D127" s="216"/>
      <c r="E127" s="216"/>
      <c r="F127" s="216"/>
      <c r="G127" s="216"/>
      <c r="H127" s="216"/>
      <c r="I127" s="216"/>
      <c r="J127" s="216"/>
      <c r="K127" s="216"/>
      <c r="L127" s="216"/>
      <c r="M127" s="216"/>
      <c r="N127" s="216">
        <v>80</v>
      </c>
      <c r="O127" s="216" t="s">
        <v>208</v>
      </c>
      <c r="P127" s="216"/>
      <c r="Q127" s="216"/>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58"/>
      <c r="AY127" s="158"/>
    </row>
    <row r="128" spans="1:51" s="80" customFormat="1" ht="12.75" hidden="1">
      <c r="A128" s="216"/>
      <c r="B128" s="216"/>
      <c r="C128" s="216"/>
      <c r="D128" s="216"/>
      <c r="E128" s="216"/>
      <c r="F128" s="216"/>
      <c r="G128" s="216"/>
      <c r="H128" s="216"/>
      <c r="I128" s="216"/>
      <c r="J128" s="216"/>
      <c r="K128" s="216"/>
      <c r="L128" s="216"/>
      <c r="M128" s="216"/>
      <c r="N128" s="216">
        <v>90</v>
      </c>
      <c r="O128" s="216" t="s">
        <v>210</v>
      </c>
      <c r="P128" s="216"/>
      <c r="Q128" s="216"/>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58"/>
      <c r="AY128" s="158"/>
    </row>
    <row r="129" spans="1:51" s="80" customFormat="1" ht="12.75" hidden="1">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58"/>
      <c r="AY129" s="158"/>
    </row>
    <row r="130" spans="1:51" s="80" customFormat="1" ht="12.75" hidden="1">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58"/>
      <c r="AY130" s="158"/>
    </row>
    <row r="131" spans="1:51" s="80" customFormat="1" ht="12.75" hidden="1">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58"/>
      <c r="AY131" s="158"/>
    </row>
    <row r="132" spans="1:51" s="80" customFormat="1" ht="12.75" hidden="1">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58"/>
      <c r="AY132" s="158"/>
    </row>
    <row r="133" spans="1:51" s="80" customFormat="1" ht="12.75" hidden="1">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58"/>
      <c r="AY133" s="158"/>
    </row>
    <row r="134" spans="1:51" s="80" customFormat="1" ht="12.75" hidden="1">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58"/>
      <c r="AY134" s="158"/>
    </row>
    <row r="135" spans="1:51" s="80" customFormat="1" ht="12.75" hidden="1">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58"/>
      <c r="AY135" s="158"/>
    </row>
    <row r="136" spans="1:51" s="80" customFormat="1" ht="12.75" hidden="1">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58"/>
      <c r="AY136" s="158"/>
    </row>
    <row r="137" spans="1:51" s="80" customFormat="1" ht="12.75" hidden="1">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58"/>
      <c r="AY137" s="158"/>
    </row>
    <row r="138" spans="1:51" s="80" customFormat="1" ht="12.75" hidden="1">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58"/>
      <c r="AY138" s="158"/>
    </row>
    <row r="139" spans="1:51" s="80" customFormat="1" ht="12.75">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58"/>
      <c r="AY139" s="158"/>
    </row>
    <row r="140" spans="1:51" s="80" customFormat="1" ht="12.75">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58"/>
      <c r="AY140" s="158"/>
    </row>
  </sheetData>
  <sheetProtection password="CF9E" sheet="1" objects="1" scenarios="1" selectLockedCells="1"/>
  <mergeCells count="53">
    <mergeCell ref="H36:N36"/>
    <mergeCell ref="V36:AF36"/>
    <mergeCell ref="F39:Q39"/>
    <mergeCell ref="B21:B22"/>
    <mergeCell ref="J21:J22"/>
    <mergeCell ref="V21:V22"/>
    <mergeCell ref="A26:AF27"/>
    <mergeCell ref="T28:AF28"/>
    <mergeCell ref="X21:Y22"/>
    <mergeCell ref="AA21:AC22"/>
    <mergeCell ref="AK30:AL30"/>
    <mergeCell ref="AK23:AN23"/>
    <mergeCell ref="B24:F24"/>
    <mergeCell ref="H24:L24"/>
    <mergeCell ref="N24:R24"/>
    <mergeCell ref="T24:V24"/>
    <mergeCell ref="X24:AF24"/>
    <mergeCell ref="AE21:AF22"/>
    <mergeCell ref="AK15:AN15"/>
    <mergeCell ref="P17:Q17"/>
    <mergeCell ref="X17:Y17"/>
    <mergeCell ref="AA17:AC17"/>
    <mergeCell ref="AM17:AN17"/>
    <mergeCell ref="Y15:AD15"/>
    <mergeCell ref="AM22:AQ22"/>
    <mergeCell ref="F19:H19"/>
    <mergeCell ref="L19:Q19"/>
    <mergeCell ref="V19:AC19"/>
    <mergeCell ref="AK19:AS21"/>
    <mergeCell ref="Q13:R13"/>
    <mergeCell ref="Y13:AA13"/>
    <mergeCell ref="AC13:AE13"/>
    <mergeCell ref="D15:J15"/>
    <mergeCell ref="L15:N15"/>
    <mergeCell ref="Q15:V15"/>
    <mergeCell ref="AR7:AS7"/>
    <mergeCell ref="D9:J9"/>
    <mergeCell ref="L9:Q9"/>
    <mergeCell ref="R9:AC9"/>
    <mergeCell ref="D11:H11"/>
    <mergeCell ref="N11:AC11"/>
    <mergeCell ref="B5:K5"/>
    <mergeCell ref="R5:AC5"/>
    <mergeCell ref="B7:H7"/>
    <mergeCell ref="T7:AC7"/>
    <mergeCell ref="AM7:AO7"/>
    <mergeCell ref="AP7:AQ7"/>
    <mergeCell ref="A1:AD1"/>
    <mergeCell ref="AK1:AR1"/>
    <mergeCell ref="J2:N2"/>
    <mergeCell ref="AK2:AR2"/>
    <mergeCell ref="AK3:AR3"/>
    <mergeCell ref="V4:AC4"/>
  </mergeCells>
  <printOptions/>
  <pageMargins left="0.26" right="0.32" top="0.67" bottom="0.58" header="0.5" footer="0.5"/>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GAME</dc:creator>
  <cp:keywords/>
  <dc:description/>
  <cp:lastModifiedBy>suresh</cp:lastModifiedBy>
  <cp:lastPrinted>2017-09-02T03:43:01Z</cp:lastPrinted>
  <dcterms:created xsi:type="dcterms:W3CDTF">2009-10-08T13:08:59Z</dcterms:created>
  <dcterms:modified xsi:type="dcterms:W3CDTF">2018-07-07T17:30:17Z</dcterms:modified>
  <cp:category/>
  <cp:version/>
  <cp:contentType/>
  <cp:contentStatus/>
</cp:coreProperties>
</file>